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victor/Desktop/Victor Tous - Financial Modeling Portfolio/DCF - Procter &amp; Gamble/"/>
    </mc:Choice>
  </mc:AlternateContent>
  <xr:revisionPtr revIDLastSave="0" documentId="13_ncr:1_{706DE68B-6501-434C-9CD3-563443F452D7}" xr6:coauthVersionLast="47" xr6:coauthVersionMax="47" xr10:uidLastSave="{00000000-0000-0000-0000-000000000000}"/>
  <bookViews>
    <workbookView xWindow="0" yWindow="760" windowWidth="29400" windowHeight="16940" xr2:uid="{4DB902D0-F24B-8A4C-9065-AB73DF6AE53D}"/>
  </bookViews>
  <sheets>
    <sheet name="DCF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" l="1"/>
  <c r="G39" i="1"/>
  <c r="C17" i="1"/>
  <c r="G28" i="1"/>
  <c r="F28" i="1"/>
  <c r="E28" i="1"/>
  <c r="D28" i="1"/>
  <c r="C28" i="1"/>
  <c r="D16" i="1"/>
  <c r="E16" i="1" s="1"/>
  <c r="E17" i="1" s="1"/>
  <c r="D17" i="1" l="1"/>
  <c r="D18" i="1" s="1"/>
  <c r="C18" i="1"/>
  <c r="C19" i="1" s="1"/>
  <c r="C23" i="1" s="1"/>
  <c r="C27" i="1" s="1"/>
  <c r="C29" i="1" s="1"/>
  <c r="F16" i="1"/>
  <c r="F17" i="1" s="1"/>
  <c r="D19" i="1" l="1"/>
  <c r="D23" i="1" s="1"/>
  <c r="D27" i="1" s="1"/>
  <c r="D29" i="1" s="1"/>
  <c r="E18" i="1"/>
  <c r="E19" i="1" s="1"/>
  <c r="E23" i="1" s="1"/>
  <c r="E27" i="1" s="1"/>
  <c r="E29" i="1" s="1"/>
  <c r="G16" i="1"/>
  <c r="G17" i="1" s="1"/>
  <c r="G32" i="1" s="1"/>
  <c r="F18" i="1" l="1"/>
  <c r="F19" i="1" s="1"/>
  <c r="F23" i="1" s="1"/>
  <c r="F27" i="1" s="1"/>
  <c r="F29" i="1" s="1"/>
  <c r="G18" i="1"/>
  <c r="G19" i="1" s="1"/>
  <c r="G23" i="1" s="1"/>
  <c r="G27" i="1" l="1"/>
  <c r="G29" i="1" s="1"/>
  <c r="G37" i="1" s="1"/>
  <c r="C32" i="1"/>
  <c r="C33" i="1" s="1"/>
  <c r="C34" i="1" s="1"/>
  <c r="C38" i="1" s="1"/>
  <c r="C37" i="1" l="1"/>
  <c r="C39" i="1" l="1"/>
  <c r="C41" i="1" s="1"/>
  <c r="C43" i="1" s="1"/>
  <c r="J27" i="1" s="1"/>
  <c r="I6" i="1" l="1"/>
  <c r="G34" i="1"/>
  <c r="G36" i="1" s="1"/>
  <c r="G38" i="1" s="1"/>
  <c r="G41" i="1" s="1"/>
  <c r="G43" i="1" s="1"/>
  <c r="J28" i="1" s="1"/>
  <c r="I16" i="1" l="1"/>
</calcChain>
</file>

<file path=xl/sharedStrings.xml><?xml version="1.0" encoding="utf-8"?>
<sst xmlns="http://schemas.openxmlformats.org/spreadsheetml/2006/main" count="81" uniqueCount="70">
  <si>
    <t>Assumptions</t>
  </si>
  <si>
    <t>Forcast Period</t>
  </si>
  <si>
    <t>Risk-Free Rate</t>
  </si>
  <si>
    <t>Market Risk Premium</t>
  </si>
  <si>
    <t>Beta</t>
  </si>
  <si>
    <t>Cost of Equity</t>
  </si>
  <si>
    <t>Cost of Debt</t>
  </si>
  <si>
    <t>Tax Rate</t>
  </si>
  <si>
    <t>WACC</t>
  </si>
  <si>
    <t>Growth (g)</t>
  </si>
  <si>
    <t>EBIT (Operating Income)</t>
  </si>
  <si>
    <t>Less: Taxes (EBIT x Tax)</t>
  </si>
  <si>
    <t>NOPAT (EBIT - Taxes)</t>
  </si>
  <si>
    <t>Add: Dep. &amp;  Amort</t>
  </si>
  <si>
    <t>Less: CapEx</t>
  </si>
  <si>
    <t>Less: Change in NWC</t>
  </si>
  <si>
    <t>Unlevered Free Cash Flow</t>
  </si>
  <si>
    <t>2025F</t>
  </si>
  <si>
    <t>2026F</t>
  </si>
  <si>
    <t>2027F</t>
  </si>
  <si>
    <t>2028F</t>
  </si>
  <si>
    <t>2029F</t>
  </si>
  <si>
    <t>Discounted Cash Flow</t>
  </si>
  <si>
    <t>FCF</t>
  </si>
  <si>
    <t xml:space="preserve">Discount Factor </t>
  </si>
  <si>
    <t>PV of FCF</t>
  </si>
  <si>
    <t>Terminal Value</t>
  </si>
  <si>
    <t xml:space="preserve">Final Year FCF </t>
  </si>
  <si>
    <t>PV of Terminal Value</t>
  </si>
  <si>
    <t>Enterprise &amp; Equity Value</t>
  </si>
  <si>
    <t>Sum of PV of FCFs</t>
  </si>
  <si>
    <t>Enterprise Value</t>
  </si>
  <si>
    <t>Less: Net Debt</t>
  </si>
  <si>
    <t>Equity Value</t>
  </si>
  <si>
    <t>Shares Outstanding</t>
  </si>
  <si>
    <t>Implied Share Price</t>
  </si>
  <si>
    <t>Years (Standard)</t>
  </si>
  <si>
    <t>Based on U.S. 10-Year Treasury Yields</t>
  </si>
  <si>
    <t>Within Academic &amp; Industry Norms</t>
  </si>
  <si>
    <t>Matches P&amp;G's Reported Range (0.6-0.75)</t>
  </si>
  <si>
    <t>via. CAPM (4.1% + 0.7 x 5.5%)</t>
  </si>
  <si>
    <t>Directly from P&amp;G's FY2025 Filings</t>
  </si>
  <si>
    <t>Based on P&amp;G Bond Yields and Finbox Data)</t>
  </si>
  <si>
    <t>Matches Alphaspread/GururFocus Consensus</t>
  </si>
  <si>
    <t>Reasonable Estimation</t>
  </si>
  <si>
    <t>Comments</t>
  </si>
  <si>
    <t>Operating Margin (FY 2024)</t>
  </si>
  <si>
    <t xml:space="preserve">Revenue </t>
  </si>
  <si>
    <t>Forcast Financials (Billions)</t>
  </si>
  <si>
    <t xml:space="preserve">Terminal Value </t>
  </si>
  <si>
    <t>Net Debt</t>
  </si>
  <si>
    <t xml:space="preserve">WACC </t>
  </si>
  <si>
    <t>Terminal Growth Rate (g)</t>
  </si>
  <si>
    <t>Sensitivity Table: Exit Multiple vs. WACC</t>
  </si>
  <si>
    <t>Sensitivity Table: Terminal Growth vs. WACC</t>
  </si>
  <si>
    <t>EV/EBITDA (multiple X)</t>
  </si>
  <si>
    <t>Exit Multiple</t>
  </si>
  <si>
    <t>TV Exit</t>
  </si>
  <si>
    <t>PV of TV Exit</t>
  </si>
  <si>
    <t>Exit Multiple Method</t>
  </si>
  <si>
    <t>EBITDA (2029F)</t>
  </si>
  <si>
    <t>EV of Exit</t>
  </si>
  <si>
    <t>Summary Table</t>
  </si>
  <si>
    <t>Method</t>
  </si>
  <si>
    <t>Implied Price</t>
  </si>
  <si>
    <t>Perpetuity Growth</t>
  </si>
  <si>
    <t>Exit Multiple (15x)</t>
  </si>
  <si>
    <t>Valuation Range</t>
  </si>
  <si>
    <t>$126 - $156</t>
  </si>
  <si>
    <t>via. StockAnalysis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</si>
</sst>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%"/>
    <numFmt numFmtId="165" formatCode="0.0000"/>
  </numFmts>
  <fonts count="7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rgb="FF000000"/>
      <name val="Aptos Narrow"/>
      <scheme val="minor"/>
    </font>
    <font>
      <sz val="12"/>
      <color theme="1"/>
      <name val="Aptos Narrow"/>
      <scheme val="minor"/>
    </font>
    <font>
      <b/>
      <sz val="12"/>
      <color theme="1"/>
      <name val="Aptos Display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3" tint="0.74999237037263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3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4" xfId="0" applyFont="1" applyBorder="1"/>
    <xf numFmtId="0" fontId="4" fillId="0" borderId="1" xfId="0" applyFont="1" applyBorder="1"/>
    <xf numFmtId="164" fontId="0" fillId="0" borderId="0" xfId="2" applyNumberFormat="1" applyFont="1" applyBorder="1"/>
    <xf numFmtId="164" fontId="0" fillId="0" borderId="4" xfId="2" applyNumberFormat="1" applyFont="1" applyBorder="1"/>
    <xf numFmtId="0" fontId="2" fillId="0" borderId="6" xfId="0" applyFont="1" applyBorder="1"/>
    <xf numFmtId="44" fontId="0" fillId="0" borderId="0" xfId="1" applyFont="1" applyBorder="1"/>
    <xf numFmtId="44" fontId="0" fillId="0" borderId="5" xfId="1" applyFont="1" applyBorder="1"/>
    <xf numFmtId="0" fontId="2" fillId="2" borderId="6" xfId="0" applyFont="1" applyFill="1" applyBorder="1"/>
    <xf numFmtId="44" fontId="0" fillId="2" borderId="7" xfId="1" applyFont="1" applyFill="1" applyBorder="1"/>
    <xf numFmtId="44" fontId="0" fillId="2" borderId="8" xfId="1" applyFont="1" applyFill="1" applyBorder="1"/>
    <xf numFmtId="0" fontId="2" fillId="3" borderId="0" xfId="0" applyFont="1" applyFill="1" applyAlignment="1">
      <alignment horizontal="center"/>
    </xf>
    <xf numFmtId="164" fontId="2" fillId="3" borderId="0" xfId="0" applyNumberFormat="1" applyFont="1" applyFill="1" applyAlignment="1">
      <alignment horizontal="center"/>
    </xf>
    <xf numFmtId="0" fontId="0" fillId="3" borderId="0" xfId="0" applyFill="1" applyAlignment="1">
      <alignment horizontal="center"/>
    </xf>
    <xf numFmtId="10" fontId="0" fillId="3" borderId="0" xfId="2" applyNumberFormat="1" applyFont="1" applyFill="1" applyBorder="1" applyAlignment="1">
      <alignment horizontal="center"/>
    </xf>
    <xf numFmtId="10" fontId="0" fillId="3" borderId="0" xfId="0" applyNumberFormat="1" applyFill="1" applyAlignment="1">
      <alignment horizontal="center"/>
    </xf>
    <xf numFmtId="10" fontId="0" fillId="3" borderId="7" xfId="0" applyNumberFormat="1" applyFill="1" applyBorder="1" applyAlignment="1">
      <alignment horizontal="center"/>
    </xf>
    <xf numFmtId="44" fontId="0" fillId="0" borderId="0" xfId="0" applyNumberFormat="1"/>
    <xf numFmtId="44" fontId="0" fillId="0" borderId="7" xfId="0" applyNumberFormat="1" applyBorder="1"/>
    <xf numFmtId="165" fontId="0" fillId="0" borderId="0" xfId="0" applyNumberFormat="1"/>
    <xf numFmtId="44" fontId="0" fillId="2" borderId="7" xfId="0" applyNumberFormat="1" applyFill="1" applyBorder="1"/>
    <xf numFmtId="164" fontId="0" fillId="0" borderId="0" xfId="2" applyNumberFormat="1" applyFont="1" applyFill="1" applyBorder="1"/>
    <xf numFmtId="0" fontId="5" fillId="0" borderId="1" xfId="0" applyFont="1" applyBorder="1"/>
    <xf numFmtId="10" fontId="0" fillId="3" borderId="2" xfId="2" applyNumberFormat="1" applyFont="1" applyFill="1" applyBorder="1" applyAlignment="1">
      <alignment horizontal="center"/>
    </xf>
    <xf numFmtId="0" fontId="3" fillId="0" borderId="0" xfId="0" applyFont="1"/>
    <xf numFmtId="164" fontId="0" fillId="0" borderId="11" xfId="2" applyNumberFormat="1" applyFont="1" applyBorder="1"/>
    <xf numFmtId="164" fontId="0" fillId="0" borderId="12" xfId="2" applyNumberFormat="1" applyFont="1" applyFill="1" applyBorder="1"/>
    <xf numFmtId="164" fontId="0" fillId="0" borderId="7" xfId="2" applyNumberFormat="1" applyFont="1" applyBorder="1"/>
    <xf numFmtId="164" fontId="0" fillId="0" borderId="8" xfId="2" applyNumberFormat="1" applyFont="1" applyBorder="1"/>
    <xf numFmtId="0" fontId="3" fillId="0" borderId="13" xfId="0" applyFont="1" applyBorder="1"/>
    <xf numFmtId="0" fontId="0" fillId="0" borderId="14" xfId="0" applyBorder="1"/>
    <xf numFmtId="44" fontId="0" fillId="0" borderId="15" xfId="0" applyNumberFormat="1" applyBorder="1"/>
    <xf numFmtId="164" fontId="0" fillId="0" borderId="14" xfId="2" applyNumberFormat="1" applyFont="1" applyBorder="1"/>
    <xf numFmtId="164" fontId="0" fillId="0" borderId="15" xfId="2" applyNumberFormat="1" applyFont="1" applyFill="1" applyBorder="1"/>
    <xf numFmtId="44" fontId="0" fillId="0" borderId="1" xfId="1" applyFont="1" applyBorder="1"/>
    <xf numFmtId="44" fontId="0" fillId="0" borderId="2" xfId="1" applyFont="1" applyBorder="1"/>
    <xf numFmtId="44" fontId="0" fillId="0" borderId="3" xfId="1" applyFont="1" applyBorder="1"/>
    <xf numFmtId="44" fontId="0" fillId="0" borderId="4" xfId="1" applyFont="1" applyBorder="1"/>
    <xf numFmtId="44" fontId="0" fillId="0" borderId="6" xfId="1" applyFont="1" applyBorder="1"/>
    <xf numFmtId="44" fontId="0" fillId="0" borderId="7" xfId="1" applyFont="1" applyBorder="1"/>
    <xf numFmtId="44" fontId="0" fillId="0" borderId="8" xfId="1" applyFont="1" applyBorder="1"/>
    <xf numFmtId="164" fontId="3" fillId="0" borderId="14" xfId="2" applyNumberFormat="1" applyFont="1" applyBorder="1"/>
    <xf numFmtId="0" fontId="3" fillId="0" borderId="9" xfId="0" applyFont="1" applyBorder="1" applyAlignment="1">
      <alignment horizontal="center"/>
    </xf>
    <xf numFmtId="0" fontId="6" fillId="0" borderId="13" xfId="0" applyFont="1" applyBorder="1"/>
    <xf numFmtId="44" fontId="0" fillId="0" borderId="3" xfId="0" applyNumberFormat="1" applyBorder="1"/>
    <xf numFmtId="2" fontId="0" fillId="0" borderId="5" xfId="0" applyNumberFormat="1" applyBorder="1"/>
    <xf numFmtId="44" fontId="0" fillId="0" borderId="5" xfId="0" applyNumberFormat="1" applyBorder="1"/>
    <xf numFmtId="44" fontId="0" fillId="2" borderId="8" xfId="0" applyNumberFormat="1" applyFill="1" applyBorder="1"/>
    <xf numFmtId="165" fontId="0" fillId="0" borderId="5" xfId="0" applyNumberFormat="1" applyBorder="1"/>
    <xf numFmtId="0" fontId="0" fillId="2" borderId="6" xfId="0" applyFill="1" applyBorder="1"/>
    <xf numFmtId="164" fontId="0" fillId="0" borderId="11" xfId="2" applyNumberFormat="1" applyFont="1" applyFill="1" applyBorder="1"/>
    <xf numFmtId="164" fontId="0" fillId="0" borderId="4" xfId="2" applyNumberFormat="1" applyFont="1" applyFill="1" applyBorder="1"/>
    <xf numFmtId="164" fontId="0" fillId="0" borderId="6" xfId="2" applyNumberFormat="1" applyFont="1" applyFill="1" applyBorder="1"/>
    <xf numFmtId="0" fontId="0" fillId="0" borderId="0" xfId="2" applyNumberFormat="1" applyFont="1" applyBorder="1"/>
    <xf numFmtId="0" fontId="0" fillId="0" borderId="5" xfId="2" applyNumberFormat="1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5" xfId="0" applyBorder="1"/>
    <xf numFmtId="0" fontId="0" fillId="0" borderId="9" xfId="0" applyBorder="1"/>
    <xf numFmtId="44" fontId="0" fillId="0" borderId="12" xfId="0" applyNumberFormat="1" applyBorder="1"/>
    <xf numFmtId="44" fontId="0" fillId="2" borderId="0" xfId="1" applyFont="1" applyFill="1" applyBorder="1"/>
    <xf numFmtId="0" fontId="5" fillId="0" borderId="10" xfId="0" applyFont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4F985-B6D6-614C-BCF1-9E484DA8EF90}">
  <dimension ref="B2:N52"/>
  <sheetViews>
    <sheetView tabSelected="1" zoomScale="90" zoomScaleNormal="90" workbookViewId="0">
      <selection activeCell="K42" sqref="K42"/>
    </sheetView>
  </sheetViews>
  <sheetFormatPr baseColWidth="10" defaultRowHeight="16" x14ac:dyDescent="0.2"/>
  <cols>
    <col min="2" max="2" width="24.5" bestFit="1" customWidth="1"/>
    <col min="6" max="6" width="17" customWidth="1"/>
    <col min="9" max="9" width="15.83203125" customWidth="1"/>
    <col min="10" max="10" width="11.83203125" customWidth="1"/>
  </cols>
  <sheetData>
    <row r="2" spans="2:14" x14ac:dyDescent="0.2">
      <c r="B2" s="1" t="s">
        <v>0</v>
      </c>
      <c r="C2" s="2"/>
      <c r="D2" s="1" t="s">
        <v>45</v>
      </c>
      <c r="E2" s="2"/>
      <c r="F2" s="2"/>
      <c r="G2" s="3"/>
    </row>
    <row r="3" spans="2:14" x14ac:dyDescent="0.2">
      <c r="B3" s="70" t="s">
        <v>46</v>
      </c>
      <c r="C3" s="31">
        <v>0.221</v>
      </c>
      <c r="D3" s="30" t="s">
        <v>69</v>
      </c>
      <c r="E3" s="2"/>
      <c r="F3" s="2"/>
      <c r="G3" s="3"/>
    </row>
    <row r="4" spans="2:14" x14ac:dyDescent="0.2">
      <c r="B4" s="64" t="s">
        <v>1</v>
      </c>
      <c r="C4" s="19">
        <v>5</v>
      </c>
      <c r="D4" s="9" t="s">
        <v>36</v>
      </c>
      <c r="G4" s="5"/>
      <c r="I4" s="51" t="s">
        <v>54</v>
      </c>
      <c r="J4" s="38"/>
      <c r="K4" s="38"/>
      <c r="L4" s="38"/>
      <c r="M4" s="38"/>
      <c r="N4" s="39"/>
    </row>
    <row r="5" spans="2:14" x14ac:dyDescent="0.2">
      <c r="B5" s="64" t="s">
        <v>2</v>
      </c>
      <c r="C5" s="20">
        <v>4.1000000000000002E-2</v>
      </c>
      <c r="D5" s="9" t="s">
        <v>37</v>
      </c>
      <c r="G5" s="5"/>
      <c r="I5" s="50" t="s">
        <v>51</v>
      </c>
      <c r="J5" s="40"/>
      <c r="K5" s="49" t="s">
        <v>52</v>
      </c>
      <c r="L5" s="40"/>
      <c r="M5" s="40"/>
      <c r="N5" s="41"/>
    </row>
    <row r="6" spans="2:14" x14ac:dyDescent="0.2">
      <c r="B6" s="64" t="s">
        <v>3</v>
      </c>
      <c r="C6" s="20">
        <v>5.5E-2</v>
      </c>
      <c r="D6" s="9" t="s">
        <v>38</v>
      </c>
      <c r="G6" s="5"/>
      <c r="I6" s="68">
        <f>C43</f>
        <v>156.1589387765863</v>
      </c>
      <c r="J6" s="35">
        <v>1.4999999999999999E-2</v>
      </c>
      <c r="K6" s="35">
        <v>0.02</v>
      </c>
      <c r="L6" s="35">
        <v>2.5000000000000001E-2</v>
      </c>
      <c r="M6" s="35">
        <v>0.03</v>
      </c>
      <c r="N6" s="36">
        <v>3.5000000000000003E-2</v>
      </c>
    </row>
    <row r="7" spans="2:14" x14ac:dyDescent="0.2">
      <c r="B7" s="64" t="s">
        <v>4</v>
      </c>
      <c r="C7" s="21">
        <v>0.7</v>
      </c>
      <c r="D7" s="9" t="s">
        <v>39</v>
      </c>
      <c r="G7" s="5"/>
      <c r="I7" s="33">
        <v>0.06</v>
      </c>
      <c r="J7" s="42">
        <f t="dataTable" ref="J7:N12" dt2D="1" dtr="1" r1="C12" r2="C11" ca="1"/>
        <v>118.60305004236412</v>
      </c>
      <c r="K7" s="43">
        <v>134.91744314264227</v>
      </c>
      <c r="L7" s="43">
        <v>155.89309141442837</v>
      </c>
      <c r="M7" s="43">
        <v>183.86062244347659</v>
      </c>
      <c r="N7" s="44">
        <v>223.01516588414404</v>
      </c>
    </row>
    <row r="8" spans="2:14" x14ac:dyDescent="0.2">
      <c r="B8" s="64" t="s">
        <v>5</v>
      </c>
      <c r="C8" s="22">
        <v>7.9500000000000001E-2</v>
      </c>
      <c r="D8" s="9" t="s">
        <v>40</v>
      </c>
      <c r="G8" s="5"/>
      <c r="I8" s="33">
        <v>6.5000000000000002E-2</v>
      </c>
      <c r="J8" s="45">
        <v>105.74442416502555</v>
      </c>
      <c r="K8" s="14">
        <v>118.81485387913392</v>
      </c>
      <c r="L8" s="14">
        <v>135.15289102176931</v>
      </c>
      <c r="M8" s="69">
        <v>156.1589387765863</v>
      </c>
      <c r="N8" s="15">
        <v>184.16700244967552</v>
      </c>
    </row>
    <row r="9" spans="2:14" x14ac:dyDescent="0.2">
      <c r="B9" s="64" t="s">
        <v>6</v>
      </c>
      <c r="C9" s="23">
        <v>5.8000000000000003E-2</v>
      </c>
      <c r="D9" s="9" t="s">
        <v>42</v>
      </c>
      <c r="G9" s="5"/>
      <c r="I9" s="33">
        <v>7.0000000000000007E-2</v>
      </c>
      <c r="J9" s="45">
        <v>95.223843371585971</v>
      </c>
      <c r="K9" s="14">
        <v>105.93294835742218</v>
      </c>
      <c r="L9" s="14">
        <v>119.02185445122193</v>
      </c>
      <c r="M9" s="14">
        <v>135.38298706847166</v>
      </c>
      <c r="N9" s="15">
        <v>156.41872900493556</v>
      </c>
    </row>
    <row r="10" spans="2:14" x14ac:dyDescent="0.2">
      <c r="B10" s="64" t="s">
        <v>7</v>
      </c>
      <c r="C10" s="23">
        <v>0.19800000000000001</v>
      </c>
      <c r="D10" s="9" t="s">
        <v>41</v>
      </c>
      <c r="G10" s="5"/>
      <c r="I10" s="33">
        <v>7.4999999999999997E-2</v>
      </c>
      <c r="J10" s="45">
        <v>86.456793897604697</v>
      </c>
      <c r="K10" s="14">
        <v>95.39335465743018</v>
      </c>
      <c r="L10" s="14">
        <v>106.1172275692207</v>
      </c>
      <c r="M10" s="14">
        <v>119.22418335029805</v>
      </c>
      <c r="N10" s="15">
        <v>135.60787807664471</v>
      </c>
    </row>
    <row r="11" spans="2:14" x14ac:dyDescent="0.2">
      <c r="B11" s="64" t="s">
        <v>8</v>
      </c>
      <c r="C11" s="22">
        <v>6.5000000000000002E-2</v>
      </c>
      <c r="D11" s="9" t="s">
        <v>43</v>
      </c>
      <c r="G11" s="5"/>
      <c r="I11" s="58">
        <v>0.08</v>
      </c>
      <c r="J11" s="14">
        <v>79.03861243505149</v>
      </c>
      <c r="K11" s="14">
        <v>86.610491596392677</v>
      </c>
      <c r="L11" s="14">
        <v>95.559076059795856</v>
      </c>
      <c r="M11" s="14">
        <v>106.29737741587969</v>
      </c>
      <c r="N11" s="15">
        <v>119.42196796220438</v>
      </c>
    </row>
    <row r="12" spans="2:14" x14ac:dyDescent="0.2">
      <c r="B12" s="65" t="s">
        <v>9</v>
      </c>
      <c r="C12" s="24">
        <v>0.03</v>
      </c>
      <c r="D12" s="13" t="s">
        <v>44</v>
      </c>
      <c r="E12" s="7"/>
      <c r="F12" s="7"/>
      <c r="G12" s="8"/>
      <c r="I12" s="34">
        <v>8.5000000000000006E-2</v>
      </c>
      <c r="J12" s="47">
        <v>72.680253824308053</v>
      </c>
      <c r="K12" s="47">
        <v>79.178956903743526</v>
      </c>
      <c r="L12" s="47">
        <v>86.760777163084867</v>
      </c>
      <c r="M12" s="47">
        <v>95.721110196851939</v>
      </c>
      <c r="N12" s="48">
        <v>106.4735098373724</v>
      </c>
    </row>
    <row r="14" spans="2:14" x14ac:dyDescent="0.2">
      <c r="B14" s="1" t="s">
        <v>48</v>
      </c>
      <c r="C14" s="2"/>
      <c r="D14" s="2"/>
      <c r="E14" s="2"/>
      <c r="F14" s="2"/>
      <c r="G14" s="3"/>
      <c r="I14" s="51" t="s">
        <v>53</v>
      </c>
      <c r="J14" s="38"/>
      <c r="K14" s="38"/>
      <c r="L14" s="38"/>
      <c r="M14" s="38"/>
      <c r="N14" s="39"/>
    </row>
    <row r="15" spans="2:14" x14ac:dyDescent="0.2">
      <c r="B15" s="4"/>
      <c r="C15" t="s">
        <v>17</v>
      </c>
      <c r="D15" t="s">
        <v>18</v>
      </c>
      <c r="E15" t="s">
        <v>19</v>
      </c>
      <c r="F15" t="s">
        <v>20</v>
      </c>
      <c r="G15" s="5" t="s">
        <v>21</v>
      </c>
      <c r="I15" s="50" t="s">
        <v>51</v>
      </c>
      <c r="J15" s="40"/>
      <c r="K15" s="49" t="s">
        <v>55</v>
      </c>
      <c r="L15" s="40"/>
      <c r="M15" s="40"/>
      <c r="N15" s="41"/>
    </row>
    <row r="16" spans="2:14" x14ac:dyDescent="0.2">
      <c r="B16" s="9" t="s">
        <v>47</v>
      </c>
      <c r="C16" s="14">
        <v>84.28</v>
      </c>
      <c r="D16" s="14">
        <f>C16+(C16*$C$12)</f>
        <v>86.808400000000006</v>
      </c>
      <c r="E16" s="14">
        <f>D16+(D16*$C$12)</f>
        <v>89.412652000000008</v>
      </c>
      <c r="F16" s="14">
        <f t="shared" ref="F16:G16" si="0">E16+(E16*$C$12)</f>
        <v>92.09503156000001</v>
      </c>
      <c r="G16" s="15">
        <f t="shared" si="0"/>
        <v>94.85788250680001</v>
      </c>
      <c r="I16" s="68">
        <f>G43</f>
        <v>126.22146229701526</v>
      </c>
      <c r="J16" s="61">
        <v>12</v>
      </c>
      <c r="K16" s="61">
        <v>13</v>
      </c>
      <c r="L16" s="61">
        <v>14</v>
      </c>
      <c r="M16" s="61">
        <v>15</v>
      </c>
      <c r="N16" s="62">
        <v>16</v>
      </c>
    </row>
    <row r="17" spans="2:14" x14ac:dyDescent="0.2">
      <c r="B17" s="9" t="s">
        <v>10</v>
      </c>
      <c r="C17" s="14">
        <f>C16*$C$3</f>
        <v>18.625879999999999</v>
      </c>
      <c r="D17" s="14">
        <f t="shared" ref="D17:G17" si="1">D16*$C$3</f>
        <v>19.184656400000001</v>
      </c>
      <c r="E17" s="14">
        <f t="shared" si="1"/>
        <v>19.760196092000001</v>
      </c>
      <c r="F17" s="14">
        <f t="shared" si="1"/>
        <v>20.353001974760002</v>
      </c>
      <c r="G17" s="15">
        <f t="shared" si="1"/>
        <v>20.963592034002801</v>
      </c>
      <c r="I17" s="12">
        <v>0.06</v>
      </c>
      <c r="J17" s="42">
        <f t="dataTable" ref="J17:N22" dt2D="1" dtr="1" r1="G33" r2="C11"/>
        <v>106.54376445472316</v>
      </c>
      <c r="K17" s="43">
        <v>114.09980859936297</v>
      </c>
      <c r="L17" s="43">
        <v>121.65585274400277</v>
      </c>
      <c r="M17" s="43">
        <v>129.21189688864257</v>
      </c>
      <c r="N17" s="44">
        <v>136.76794103328237</v>
      </c>
    </row>
    <row r="18" spans="2:14" x14ac:dyDescent="0.2">
      <c r="B18" s="9" t="s">
        <v>11</v>
      </c>
      <c r="C18" s="14">
        <f>C17*$C$10</f>
        <v>3.6879242400000001</v>
      </c>
      <c r="D18" s="14">
        <f t="shared" ref="D18:G18" si="2">D17*$C$10</f>
        <v>3.7985619672000004</v>
      </c>
      <c r="E18" s="14">
        <f t="shared" si="2"/>
        <v>3.9125188262160004</v>
      </c>
      <c r="F18" s="14">
        <f t="shared" si="2"/>
        <v>4.0298943910024807</v>
      </c>
      <c r="G18" s="15">
        <f t="shared" si="2"/>
        <v>4.150791222732555</v>
      </c>
      <c r="I18" s="12">
        <v>6.5000000000000002E-2</v>
      </c>
      <c r="J18" s="45">
        <v>104.08047265781258</v>
      </c>
      <c r="K18" s="14">
        <v>111.4608025375468</v>
      </c>
      <c r="L18" s="14">
        <v>118.84113241728103</v>
      </c>
      <c r="M18" s="69">
        <v>126.22146229701526</v>
      </c>
      <c r="N18" s="15">
        <v>133.60179217674948</v>
      </c>
    </row>
    <row r="19" spans="2:14" x14ac:dyDescent="0.2">
      <c r="B19" s="9" t="s">
        <v>12</v>
      </c>
      <c r="C19" s="14">
        <f>C17-C18</f>
        <v>14.937955759999998</v>
      </c>
      <c r="D19" s="14">
        <f t="shared" ref="D19:G19" si="3">D17-D18</f>
        <v>15.3860944328</v>
      </c>
      <c r="E19" s="14">
        <f t="shared" si="3"/>
        <v>15.847677265784</v>
      </c>
      <c r="F19" s="14">
        <f t="shared" si="3"/>
        <v>16.323107583757519</v>
      </c>
      <c r="G19" s="15">
        <f t="shared" si="3"/>
        <v>16.812800811270247</v>
      </c>
      <c r="I19" s="12">
        <v>7.0000000000000007E-2</v>
      </c>
      <c r="J19" s="45">
        <v>101.68335799163346</v>
      </c>
      <c r="K19" s="14">
        <v>108.89285431073542</v>
      </c>
      <c r="L19" s="14">
        <v>116.10235062983736</v>
      </c>
      <c r="M19" s="14">
        <v>123.31184694893928</v>
      </c>
      <c r="N19" s="15">
        <v>130.52134326804122</v>
      </c>
    </row>
    <row r="20" spans="2:14" x14ac:dyDescent="0.2">
      <c r="B20" s="9" t="s">
        <v>13</v>
      </c>
      <c r="C20" s="14">
        <v>2.9</v>
      </c>
      <c r="D20" s="14">
        <v>2.9</v>
      </c>
      <c r="E20" s="14">
        <v>2.9</v>
      </c>
      <c r="F20" s="14">
        <v>2.9</v>
      </c>
      <c r="G20" s="15">
        <v>2.9</v>
      </c>
      <c r="I20" s="12">
        <v>7.4999999999999997E-2</v>
      </c>
      <c r="J20" s="45">
        <v>99.350321798887691</v>
      </c>
      <c r="K20" s="14">
        <v>106.3937078286191</v>
      </c>
      <c r="L20" s="14">
        <v>113.43709385835052</v>
      </c>
      <c r="M20" s="14">
        <v>120.48047988808192</v>
      </c>
      <c r="N20" s="15">
        <v>127.52386591781332</v>
      </c>
    </row>
    <row r="21" spans="2:14" x14ac:dyDescent="0.2">
      <c r="B21" s="9" t="s">
        <v>14</v>
      </c>
      <c r="C21" s="14">
        <v>3.6</v>
      </c>
      <c r="D21" s="14">
        <v>3.6</v>
      </c>
      <c r="E21" s="14">
        <v>3.6</v>
      </c>
      <c r="F21" s="14">
        <v>3.6</v>
      </c>
      <c r="G21" s="15">
        <v>3.6</v>
      </c>
      <c r="I21" s="59">
        <v>0.08</v>
      </c>
      <c r="J21" s="45">
        <v>97.079341643749331</v>
      </c>
      <c r="K21" s="14">
        <v>103.96118899934716</v>
      </c>
      <c r="L21" s="14">
        <v>110.84303635494497</v>
      </c>
      <c r="M21" s="14">
        <v>117.72488371054278</v>
      </c>
      <c r="N21" s="15">
        <v>124.60673106614061</v>
      </c>
    </row>
    <row r="22" spans="2:14" x14ac:dyDescent="0.2">
      <c r="B22" s="9" t="s">
        <v>15</v>
      </c>
      <c r="C22" s="14">
        <v>0.66</v>
      </c>
      <c r="D22" s="14">
        <v>0.66</v>
      </c>
      <c r="E22" s="14">
        <v>0.66</v>
      </c>
      <c r="F22" s="14">
        <v>0.66</v>
      </c>
      <c r="G22" s="15">
        <v>0.66</v>
      </c>
      <c r="I22" s="60">
        <v>8.5000000000000006E-2</v>
      </c>
      <c r="J22" s="46">
        <v>94.86846820123499</v>
      </c>
      <c r="K22" s="47">
        <v>101.59320238150447</v>
      </c>
      <c r="L22" s="47">
        <v>108.31793656177393</v>
      </c>
      <c r="M22" s="47">
        <v>115.04267074204343</v>
      </c>
      <c r="N22" s="48">
        <v>121.76740492231289</v>
      </c>
    </row>
    <row r="23" spans="2:14" x14ac:dyDescent="0.2">
      <c r="B23" s="16" t="s">
        <v>16</v>
      </c>
      <c r="C23" s="17">
        <f>C19+C20-C21-C22</f>
        <v>13.577955759999996</v>
      </c>
      <c r="D23" s="17">
        <f t="shared" ref="D23:G23" si="4">D19+D20-D21-D22</f>
        <v>14.026094432799999</v>
      </c>
      <c r="E23" s="17">
        <f t="shared" si="4"/>
        <v>14.487677265783999</v>
      </c>
      <c r="F23" s="17">
        <f t="shared" si="4"/>
        <v>14.963107583757518</v>
      </c>
      <c r="G23" s="18">
        <f t="shared" si="4"/>
        <v>15.452800811270244</v>
      </c>
    </row>
    <row r="25" spans="2:14" x14ac:dyDescent="0.2">
      <c r="B25" s="10" t="s">
        <v>22</v>
      </c>
      <c r="C25" s="2"/>
      <c r="D25" s="2"/>
      <c r="E25" s="2"/>
      <c r="F25" s="2"/>
      <c r="G25" s="3"/>
      <c r="I25" s="37" t="s">
        <v>62</v>
      </c>
      <c r="J25" s="66"/>
    </row>
    <row r="26" spans="2:14" x14ac:dyDescent="0.2">
      <c r="B26" s="4"/>
      <c r="C26" t="s">
        <v>17</v>
      </c>
      <c r="D26" t="s">
        <v>18</v>
      </c>
      <c r="E26" t="s">
        <v>19</v>
      </c>
      <c r="F26" t="s">
        <v>20</v>
      </c>
      <c r="G26" s="5" t="s">
        <v>21</v>
      </c>
      <c r="I26" s="67" t="s">
        <v>63</v>
      </c>
      <c r="J26" s="8" t="s">
        <v>64</v>
      </c>
    </row>
    <row r="27" spans="2:14" x14ac:dyDescent="0.2">
      <c r="B27" s="9" t="s">
        <v>23</v>
      </c>
      <c r="C27" s="25">
        <f>C23</f>
        <v>13.577955759999996</v>
      </c>
      <c r="D27" s="25">
        <f t="shared" ref="D27:G27" si="5">D23</f>
        <v>14.026094432799999</v>
      </c>
      <c r="E27" s="25">
        <f t="shared" si="5"/>
        <v>14.487677265783999</v>
      </c>
      <c r="F27" s="25">
        <f t="shared" si="5"/>
        <v>14.963107583757518</v>
      </c>
      <c r="G27" s="54">
        <f t="shared" si="5"/>
        <v>15.452800811270244</v>
      </c>
      <c r="I27" s="63" t="s">
        <v>65</v>
      </c>
      <c r="J27" s="54">
        <f>C43</f>
        <v>156.1589387765863</v>
      </c>
    </row>
    <row r="28" spans="2:14" x14ac:dyDescent="0.2">
      <c r="B28" s="4" t="s">
        <v>24</v>
      </c>
      <c r="C28" s="27">
        <f>1/(1+$C$11)^1</f>
        <v>0.93896713615023475</v>
      </c>
      <c r="D28" s="27">
        <f>1/(1+$C$11)^2</f>
        <v>0.88165928277017358</v>
      </c>
      <c r="E28" s="27">
        <f>1/(1+$C$11)^3</f>
        <v>0.82784909180297994</v>
      </c>
      <c r="F28" s="27">
        <f>1/(1+$C$11)^4</f>
        <v>0.77732309089481699</v>
      </c>
      <c r="G28" s="56">
        <f>1/(1+$C$11)^5</f>
        <v>0.72988083652095492</v>
      </c>
      <c r="I28" s="64" t="s">
        <v>66</v>
      </c>
      <c r="J28" s="54">
        <f>G43</f>
        <v>126.22146229701526</v>
      </c>
    </row>
    <row r="29" spans="2:14" x14ac:dyDescent="0.2">
      <c r="B29" s="16" t="s">
        <v>25</v>
      </c>
      <c r="C29" s="28">
        <f>C27*C28</f>
        <v>12.74925423474178</v>
      </c>
      <c r="D29" s="28">
        <f t="shared" ref="D29:G29" si="6">D27*D28</f>
        <v>12.366236357689171</v>
      </c>
      <c r="E29" s="28">
        <f t="shared" si="6"/>
        <v>11.993610466813964</v>
      </c>
      <c r="F29" s="28">
        <f t="shared" si="6"/>
        <v>11.63116903639807</v>
      </c>
      <c r="G29" s="55">
        <f t="shared" si="6"/>
        <v>11.278703182721616</v>
      </c>
      <c r="I29" s="65" t="s">
        <v>67</v>
      </c>
      <c r="J29" s="8" t="s">
        <v>68</v>
      </c>
    </row>
    <row r="31" spans="2:14" x14ac:dyDescent="0.2">
      <c r="B31" s="10" t="s">
        <v>26</v>
      </c>
      <c r="C31" s="2"/>
      <c r="D31" s="4"/>
      <c r="F31" s="1" t="s">
        <v>59</v>
      </c>
      <c r="G31" s="52"/>
    </row>
    <row r="32" spans="2:14" x14ac:dyDescent="0.2">
      <c r="B32" s="4" t="s">
        <v>27</v>
      </c>
      <c r="C32" s="25">
        <f>G23</f>
        <v>15.452800811270244</v>
      </c>
      <c r="D32" s="4"/>
      <c r="F32" s="4" t="s">
        <v>60</v>
      </c>
      <c r="G32" s="54">
        <f>G17+G20</f>
        <v>23.863592034002799</v>
      </c>
    </row>
    <row r="33" spans="2:7" x14ac:dyDescent="0.2">
      <c r="B33" s="9" t="s">
        <v>49</v>
      </c>
      <c r="C33" s="25">
        <f>C32*(1+C12)/(C11-C12)</f>
        <v>454.75385244595287</v>
      </c>
      <c r="D33" s="4"/>
      <c r="F33" s="4" t="s">
        <v>56</v>
      </c>
      <c r="G33" s="53">
        <v>15</v>
      </c>
    </row>
    <row r="34" spans="2:7" x14ac:dyDescent="0.2">
      <c r="B34" s="6" t="s">
        <v>28</v>
      </c>
      <c r="C34" s="26">
        <f>C33/(1+C11)^5</f>
        <v>331.91612223437897</v>
      </c>
      <c r="D34" s="4"/>
      <c r="F34" s="4" t="s">
        <v>57</v>
      </c>
      <c r="G34" s="54">
        <f>G32*G33</f>
        <v>357.95388051004198</v>
      </c>
    </row>
    <row r="35" spans="2:7" x14ac:dyDescent="0.2">
      <c r="F35" s="4"/>
      <c r="G35" s="54"/>
    </row>
    <row r="36" spans="2:7" x14ac:dyDescent="0.2">
      <c r="B36" s="1" t="s">
        <v>29</v>
      </c>
      <c r="C36" s="2"/>
      <c r="D36" s="4"/>
      <c r="F36" s="4" t="s">
        <v>58</v>
      </c>
      <c r="G36" s="54">
        <f>G34/(1+C11)^5</f>
        <v>261.26367774259137</v>
      </c>
    </row>
    <row r="37" spans="2:7" x14ac:dyDescent="0.2">
      <c r="B37" s="4" t="s">
        <v>30</v>
      </c>
      <c r="C37" s="25">
        <f>SUM(C29:G29)</f>
        <v>60.018973278364598</v>
      </c>
      <c r="D37" s="4"/>
      <c r="F37" s="4" t="s">
        <v>25</v>
      </c>
      <c r="G37" s="54">
        <f>SUM(C29:G29)</f>
        <v>60.018973278364598</v>
      </c>
    </row>
    <row r="38" spans="2:7" x14ac:dyDescent="0.2">
      <c r="B38" s="4" t="s">
        <v>28</v>
      </c>
      <c r="C38" s="25">
        <f>C34</f>
        <v>331.91612223437897</v>
      </c>
      <c r="D38" s="4"/>
      <c r="F38" s="4" t="s">
        <v>61</v>
      </c>
      <c r="G38" s="54">
        <f>SUM(G36:G37)</f>
        <v>321.282651020956</v>
      </c>
    </row>
    <row r="39" spans="2:7" x14ac:dyDescent="0.2">
      <c r="B39" s="4" t="s">
        <v>31</v>
      </c>
      <c r="C39" s="25">
        <f>C37+C38</f>
        <v>391.9350955127436</v>
      </c>
      <c r="D39" s="4"/>
      <c r="F39" s="4" t="s">
        <v>50</v>
      </c>
      <c r="G39" s="54">
        <f>C40</f>
        <v>23.4</v>
      </c>
    </row>
    <row r="40" spans="2:7" x14ac:dyDescent="0.2">
      <c r="B40" s="4" t="s">
        <v>32</v>
      </c>
      <c r="C40" s="14">
        <v>23.4</v>
      </c>
      <c r="D40" s="4"/>
      <c r="F40" s="4"/>
      <c r="G40" s="5"/>
    </row>
    <row r="41" spans="2:7" x14ac:dyDescent="0.2">
      <c r="B41" s="4" t="s">
        <v>33</v>
      </c>
      <c r="C41" s="25">
        <f>C39-C40</f>
        <v>368.53509551274362</v>
      </c>
      <c r="D41" s="4"/>
      <c r="F41" s="4" t="s">
        <v>33</v>
      </c>
      <c r="G41" s="54">
        <f>G38-G39</f>
        <v>297.88265102095602</v>
      </c>
    </row>
    <row r="42" spans="2:7" x14ac:dyDescent="0.2">
      <c r="B42" s="4" t="s">
        <v>34</v>
      </c>
      <c r="C42">
        <v>2.36</v>
      </c>
      <c r="D42" s="4"/>
      <c r="F42" s="4" t="s">
        <v>34</v>
      </c>
      <c r="G42" s="5">
        <f>C42</f>
        <v>2.36</v>
      </c>
    </row>
    <row r="43" spans="2:7" x14ac:dyDescent="0.2">
      <c r="B43" s="57" t="s">
        <v>35</v>
      </c>
      <c r="C43" s="28">
        <f>C41/C42</f>
        <v>156.1589387765863</v>
      </c>
      <c r="D43" s="4"/>
      <c r="F43" s="57" t="s">
        <v>35</v>
      </c>
      <c r="G43" s="55">
        <f>G41/G42</f>
        <v>126.22146229701526</v>
      </c>
    </row>
    <row r="45" spans="2:7" x14ac:dyDescent="0.2">
      <c r="B45" s="32"/>
    </row>
    <row r="46" spans="2:7" x14ac:dyDescent="0.2">
      <c r="C46" s="11"/>
      <c r="D46" s="11"/>
      <c r="E46" s="11"/>
      <c r="F46" s="11"/>
    </row>
    <row r="48" spans="2:7" x14ac:dyDescent="0.2">
      <c r="B48" s="11"/>
    </row>
    <row r="49" spans="2:2" x14ac:dyDescent="0.2">
      <c r="B49" s="11"/>
    </row>
    <row r="50" spans="2:2" x14ac:dyDescent="0.2">
      <c r="B50" s="11"/>
    </row>
    <row r="51" spans="2:2" x14ac:dyDescent="0.2">
      <c r="B51" s="11"/>
    </row>
    <row r="52" spans="2:2" x14ac:dyDescent="0.2">
      <c r="B52" s="2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DCF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Tous, Victor</dc:creator>
  <cp:lastModifiedBy>Tous, Victor</cp:lastModifiedBy>
  <dcterms:created xsi:type="dcterms:W3CDTF">2025-08-07T20:04:10Z</dcterms:created>
  <dcterms:modified xsi:type="dcterms:W3CDTF">2026-04-20T23:03:45Z</dcterms:modified>
</cp:coreProperties>
</file>