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victor/Desktop/Victor Tous - Financial Modeling Portfolio/DCF - Palantir/"/>
    </mc:Choice>
  </mc:AlternateContent>
  <xr:revisionPtr revIDLastSave="0" documentId="13_ncr:1_{2FA2FF15-55AF-D442-8631-805D2E623768}" xr6:coauthVersionLast="47" xr6:coauthVersionMax="47" xr10:uidLastSave="{00000000-0000-0000-0000-000000000000}"/>
  <bookViews>
    <workbookView xWindow="0" yWindow="740" windowWidth="29400" windowHeight="18380" xr2:uid="{1FE763C1-0ACC-6249-9493-1449608FC058}"/>
  </bookViews>
  <sheets>
    <sheet name="DCF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3" l="1"/>
  <c r="G43" i="3"/>
  <c r="C44" i="3"/>
  <c r="G46" i="3"/>
  <c r="G37" i="3"/>
  <c r="G32" i="3"/>
  <c r="F32" i="3"/>
  <c r="E32" i="3"/>
  <c r="D32" i="3"/>
  <c r="C32" i="3"/>
  <c r="C25" i="3"/>
  <c r="D20" i="3"/>
  <c r="D25" i="3" s="1"/>
  <c r="C26" i="3"/>
  <c r="C24" i="3"/>
  <c r="C21" i="3"/>
  <c r="D26" i="3" l="1"/>
  <c r="E20" i="3"/>
  <c r="D21" i="3"/>
  <c r="D22" i="3" s="1"/>
  <c r="D23" i="3" s="1"/>
  <c r="D24" i="3"/>
  <c r="C22" i="3"/>
  <c r="C23" i="3" s="1"/>
  <c r="C27" i="3" s="1"/>
  <c r="C31" i="3" s="1"/>
  <c r="C33" i="3" s="1"/>
  <c r="D27" i="3" l="1"/>
  <c r="D31" i="3" s="1"/>
  <c r="D33" i="3" s="1"/>
  <c r="F20" i="3"/>
  <c r="E25" i="3"/>
  <c r="E21" i="3"/>
  <c r="E22" i="3" s="1"/>
  <c r="E23" i="3" s="1"/>
  <c r="E24" i="3"/>
  <c r="E26" i="3"/>
  <c r="E27" i="3" l="1"/>
  <c r="E31" i="3" s="1"/>
  <c r="E33" i="3" s="1"/>
  <c r="G20" i="3"/>
  <c r="F26" i="3"/>
  <c r="F21" i="3"/>
  <c r="F22" i="3" s="1"/>
  <c r="F23" i="3" s="1"/>
  <c r="F25" i="3"/>
  <c r="F24" i="3"/>
  <c r="F27" i="3" l="1"/>
  <c r="F31" i="3" s="1"/>
  <c r="F33" i="3" s="1"/>
  <c r="G24" i="3"/>
  <c r="G25" i="3"/>
  <c r="G26" i="3"/>
  <c r="G21" i="3"/>
  <c r="G36" i="3" l="1"/>
  <c r="G38" i="3" s="1"/>
  <c r="G40" i="3" s="1"/>
  <c r="G22" i="3"/>
  <c r="G23" i="3" s="1"/>
  <c r="G27" i="3" s="1"/>
  <c r="G31" i="3" l="1"/>
  <c r="G33" i="3" s="1"/>
  <c r="C36" i="3"/>
  <c r="C37" i="3" s="1"/>
  <c r="C38" i="3" s="1"/>
  <c r="C42" i="3" s="1"/>
  <c r="C41" i="3" l="1"/>
  <c r="C43" i="3" s="1"/>
  <c r="C45" i="3" s="1"/>
  <c r="C47" i="3" s="1"/>
  <c r="G41" i="3"/>
  <c r="G42" i="3" s="1"/>
  <c r="G45" i="3" s="1"/>
  <c r="G47" i="3" s="1"/>
  <c r="J32" i="3" l="1"/>
  <c r="I20" i="3"/>
  <c r="J31" i="3"/>
  <c r="I10" i="3"/>
</calcChain>
</file>

<file path=xl/sharedStrings.xml><?xml version="1.0" encoding="utf-8"?>
<sst xmlns="http://schemas.openxmlformats.org/spreadsheetml/2006/main" count="89" uniqueCount="78">
  <si>
    <t>Comments</t>
  </si>
  <si>
    <t>Sensitivity Table: Terminal Growth vs. WACC</t>
  </si>
  <si>
    <t>Risk-Free Rate</t>
  </si>
  <si>
    <t xml:space="preserve">WACC </t>
  </si>
  <si>
    <t>Terminal Growth Rate (g)</t>
  </si>
  <si>
    <t>Market Risk Premium</t>
  </si>
  <si>
    <t>Beta</t>
  </si>
  <si>
    <t>Cost of Equity</t>
  </si>
  <si>
    <t>Cost of Debt</t>
  </si>
  <si>
    <t>Tax Rate</t>
  </si>
  <si>
    <t>WACC</t>
  </si>
  <si>
    <t>Growth (g)</t>
  </si>
  <si>
    <t>Forcast Financials (Billions)</t>
  </si>
  <si>
    <t>Sensitivity Table: Exit Multiple vs. WACC</t>
  </si>
  <si>
    <t>2025F</t>
  </si>
  <si>
    <t>2026F</t>
  </si>
  <si>
    <t>2027F</t>
  </si>
  <si>
    <t>2028F</t>
  </si>
  <si>
    <t>2029F</t>
  </si>
  <si>
    <t>EV/EBITDA (multiple X)</t>
  </si>
  <si>
    <t xml:space="preserve">Revenue </t>
  </si>
  <si>
    <t>EBIT (Operating Income)</t>
  </si>
  <si>
    <t>Less: Taxes (EBIT x Tax)</t>
  </si>
  <si>
    <t>NOPAT (EBIT - Taxes)</t>
  </si>
  <si>
    <t>Add: Dep. &amp;  Amort</t>
  </si>
  <si>
    <t>Less: CapEx</t>
  </si>
  <si>
    <t>Less: Change in NWC</t>
  </si>
  <si>
    <t>Unlevered Free Cash Flow</t>
  </si>
  <si>
    <t>Discounted Cash Flow</t>
  </si>
  <si>
    <t>Summary Table</t>
  </si>
  <si>
    <t>Method</t>
  </si>
  <si>
    <t>Implied Price</t>
  </si>
  <si>
    <t>FCF</t>
  </si>
  <si>
    <t>Perpetuity Growth</t>
  </si>
  <si>
    <t xml:space="preserve">Discount Factor </t>
  </si>
  <si>
    <t>Exit Multiple (15x)</t>
  </si>
  <si>
    <t>PV of FCF</t>
  </si>
  <si>
    <t>Valuation Range</t>
  </si>
  <si>
    <t>Terminal Value</t>
  </si>
  <si>
    <t>Exit Multiple Method</t>
  </si>
  <si>
    <t xml:space="preserve">Final Year FCF </t>
  </si>
  <si>
    <t>EBITDA (2029F)</t>
  </si>
  <si>
    <t xml:space="preserve">Terminal Value </t>
  </si>
  <si>
    <t>Exit Multiple</t>
  </si>
  <si>
    <t>PV of Terminal Value</t>
  </si>
  <si>
    <t>TV Exit</t>
  </si>
  <si>
    <t>Enterprise &amp; Equity Value</t>
  </si>
  <si>
    <t>PV of TV Exit</t>
  </si>
  <si>
    <t>Sum of PV of FCFs</t>
  </si>
  <si>
    <t>EV of Exit</t>
  </si>
  <si>
    <t>Enterprise Value</t>
  </si>
  <si>
    <t>Net Debt</t>
  </si>
  <si>
    <t>Less: Net Debt</t>
  </si>
  <si>
    <t>Equity Value</t>
  </si>
  <si>
    <t>Shares Outstanding</t>
  </si>
  <si>
    <t>Implied Share Price</t>
  </si>
  <si>
    <t xml:space="preserve">Assumptions </t>
  </si>
  <si>
    <t>Exit Multiple (EV/EBITDA)</t>
  </si>
  <si>
    <t>CapEx % of Revenue</t>
  </si>
  <si>
    <t>D&amp;A % of Revenue</t>
  </si>
  <si>
    <t>Aligns closer to mature tech</t>
  </si>
  <si>
    <t>Average about 1% of quarterly revenue</t>
  </si>
  <si>
    <t>Reflects Palantir’s high sensitivity to market swings</t>
  </si>
  <si>
    <t>Market consensus estimate</t>
  </si>
  <si>
    <t>Based on recent reported interest costs</t>
  </si>
  <si>
    <t>Based on 2024 effective tax rate</t>
  </si>
  <si>
    <t>Estimated YoY growth</t>
  </si>
  <si>
    <t>Based on turnover and growth</t>
  </si>
  <si>
    <t>Current 10-Year U.S. Treasury yield</t>
  </si>
  <si>
    <t>Long term equity risk premium average</t>
  </si>
  <si>
    <t>appropriate forecast horizon</t>
  </si>
  <si>
    <t>Forcast Period (Years)</t>
  </si>
  <si>
    <t xml:space="preserve">Operating Margins </t>
  </si>
  <si>
    <t>Trailing 12-month operating margin (Aug. 2025)</t>
  </si>
  <si>
    <t>$9 - $12</t>
  </si>
  <si>
    <t xml:space="preserve">Held approximately $5.76 billion in cash as of Q2 2025 </t>
  </si>
  <si>
    <t>Net Debt (Billions)</t>
  </si>
  <si>
    <t>Estimated via CAPM (4.25% + 1.59 * 5.60%)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</si>
</sst>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0.0%"/>
    <numFmt numFmtId="165" formatCode="0.0000"/>
    <numFmt numFmtId="166" formatCode="_(&quot;$&quot;* #,##0.000_);_(&quot;$&quot;* \(#,##0.000\);_(&quot;$&quot;* &quot;-&quot;??_);_(@_)"/>
  </numFmts>
  <fonts count="6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rgb="FF000000"/>
      <name val="Aptos Narrow"/>
      <family val="2"/>
      <scheme val="minor"/>
    </font>
    <font>
      <b/>
      <sz val="12"/>
      <color theme="1"/>
      <name val="Aptos Display"/>
      <scheme val="major"/>
    </font>
    <font>
      <b/>
      <sz val="12"/>
      <color rgb="FF000000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3" fillId="0" borderId="6" xfId="0" applyFont="1" applyBorder="1"/>
    <xf numFmtId="0" fontId="0" fillId="0" borderId="7" xfId="0" applyBorder="1"/>
    <xf numFmtId="0" fontId="4" fillId="0" borderId="8" xfId="0" applyFont="1" applyBorder="1"/>
    <xf numFmtId="0" fontId="0" fillId="0" borderId="9" xfId="0" applyBorder="1"/>
    <xf numFmtId="44" fontId="0" fillId="0" borderId="10" xfId="0" applyNumberFormat="1" applyBorder="1"/>
    <xf numFmtId="0" fontId="2" fillId="0" borderId="11" xfId="0" applyFont="1" applyBorder="1" applyAlignment="1">
      <alignment horizontal="center"/>
    </xf>
    <xf numFmtId="164" fontId="0" fillId="0" borderId="9" xfId="2" applyNumberFormat="1" applyFont="1" applyBorder="1"/>
    <xf numFmtId="164" fontId="2" fillId="0" borderId="9" xfId="2" applyNumberFormat="1" applyFont="1" applyBorder="1"/>
    <xf numFmtId="164" fontId="0" fillId="0" borderId="10" xfId="2" applyNumberFormat="1" applyFont="1" applyFill="1" applyBorder="1"/>
    <xf numFmtId="44" fontId="0" fillId="0" borderId="12" xfId="0" applyNumberFormat="1" applyBorder="1"/>
    <xf numFmtId="164" fontId="0" fillId="0" borderId="13" xfId="2" applyNumberFormat="1" applyFont="1" applyBorder="1"/>
    <xf numFmtId="164" fontId="0" fillId="0" borderId="14" xfId="2" applyNumberFormat="1" applyFont="1" applyBorder="1"/>
    <xf numFmtId="164" fontId="0" fillId="0" borderId="5" xfId="2" applyNumberFormat="1" applyFont="1" applyBorder="1"/>
    <xf numFmtId="44" fontId="0" fillId="0" borderId="1" xfId="1" applyFont="1" applyBorder="1"/>
    <xf numFmtId="44" fontId="0" fillId="0" borderId="2" xfId="1" applyFont="1" applyBorder="1"/>
    <xf numFmtId="44" fontId="0" fillId="0" borderId="3" xfId="1" applyFont="1" applyBorder="1"/>
    <xf numFmtId="44" fontId="0" fillId="0" borderId="6" xfId="1" applyFont="1" applyBorder="1"/>
    <xf numFmtId="44" fontId="0" fillId="0" borderId="0" xfId="1" applyFont="1" applyBorder="1"/>
    <xf numFmtId="44" fontId="0" fillId="3" borderId="0" xfId="1" applyFont="1" applyFill="1" applyBorder="1"/>
    <xf numFmtId="44" fontId="0" fillId="0" borderId="7" xfId="1" applyFont="1" applyBorder="1"/>
    <xf numFmtId="164" fontId="0" fillId="0" borderId="5" xfId="2" applyNumberFormat="1" applyFont="1" applyFill="1" applyBorder="1"/>
    <xf numFmtId="0" fontId="0" fillId="0" borderId="12" xfId="0" applyBorder="1"/>
    <xf numFmtId="0" fontId="0" fillId="0" borderId="14" xfId="0" applyBorder="1"/>
    <xf numFmtId="164" fontId="0" fillId="0" borderId="12" xfId="2" applyNumberFormat="1" applyFont="1" applyFill="1" applyBorder="1"/>
    <xf numFmtId="44" fontId="0" fillId="0" borderId="13" xfId="1" applyFont="1" applyBorder="1"/>
    <xf numFmtId="44" fontId="0" fillId="0" borderId="14" xfId="1" applyFont="1" applyBorder="1"/>
    <xf numFmtId="0" fontId="0" fillId="0" borderId="6" xfId="0" applyBorder="1"/>
    <xf numFmtId="0" fontId="0" fillId="0" borderId="0" xfId="2" applyNumberFormat="1" applyFont="1" applyBorder="1"/>
    <xf numFmtId="0" fontId="0" fillId="0" borderId="7" xfId="2" applyNumberFormat="1" applyFont="1" applyBorder="1"/>
    <xf numFmtId="164" fontId="0" fillId="0" borderId="6" xfId="2" applyNumberFormat="1" applyFont="1" applyBorder="1"/>
    <xf numFmtId="164" fontId="0" fillId="0" borderId="6" xfId="2" applyNumberFormat="1" applyFont="1" applyFill="1" applyBorder="1"/>
    <xf numFmtId="164" fontId="0" fillId="0" borderId="15" xfId="2" applyNumberFormat="1" applyFont="1" applyFill="1" applyBorder="1"/>
    <xf numFmtId="44" fontId="0" fillId="0" borderId="15" xfId="1" applyFont="1" applyBorder="1"/>
    <xf numFmtId="0" fontId="3" fillId="3" borderId="15" xfId="0" applyFont="1" applyFill="1" applyBorder="1"/>
    <xf numFmtId="44" fontId="0" fillId="3" borderId="13" xfId="1" applyFont="1" applyFill="1" applyBorder="1"/>
    <xf numFmtId="44" fontId="0" fillId="3" borderId="14" xfId="1" applyFont="1" applyFill="1" applyBorder="1"/>
    <xf numFmtId="0" fontId="5" fillId="0" borderId="1" xfId="0" applyFont="1" applyBorder="1"/>
    <xf numFmtId="0" fontId="2" fillId="0" borderId="8" xfId="0" applyFont="1" applyBorder="1"/>
    <xf numFmtId="0" fontId="0" fillId="0" borderId="10" xfId="0" applyBorder="1"/>
    <xf numFmtId="0" fontId="0" fillId="0" borderId="11" xfId="0" applyBorder="1"/>
    <xf numFmtId="44" fontId="0" fillId="0" borderId="0" xfId="0" applyNumberFormat="1"/>
    <xf numFmtId="44" fontId="0" fillId="0" borderId="7" xfId="0" applyNumberFormat="1" applyBorder="1"/>
    <xf numFmtId="0" fontId="0" fillId="0" borderId="4" xfId="0" applyBorder="1"/>
    <xf numFmtId="165" fontId="0" fillId="0" borderId="0" xfId="0" applyNumberFormat="1"/>
    <xf numFmtId="165" fontId="0" fillId="0" borderId="7" xfId="0" applyNumberFormat="1" applyBorder="1"/>
    <xf numFmtId="44" fontId="0" fillId="3" borderId="13" xfId="0" applyNumberFormat="1" applyFill="1" applyBorder="1"/>
    <xf numFmtId="44" fontId="0" fillId="3" borderId="14" xfId="0" applyNumberFormat="1" applyFill="1" applyBorder="1"/>
    <xf numFmtId="44" fontId="0" fillId="0" borderId="3" xfId="0" applyNumberFormat="1" applyBorder="1"/>
    <xf numFmtId="2" fontId="0" fillId="0" borderId="7" xfId="0" applyNumberFormat="1" applyBorder="1"/>
    <xf numFmtId="0" fontId="0" fillId="0" borderId="15" xfId="0" applyBorder="1"/>
    <xf numFmtId="44" fontId="0" fillId="0" borderId="13" xfId="0" applyNumberFormat="1" applyBorder="1"/>
    <xf numFmtId="0" fontId="0" fillId="3" borderId="15" xfId="0" applyFill="1" applyBorder="1"/>
    <xf numFmtId="164" fontId="0" fillId="0" borderId="0" xfId="2" applyNumberFormat="1" applyFont="1" applyFill="1" applyBorder="1"/>
    <xf numFmtId="166" fontId="0" fillId="0" borderId="0" xfId="1" applyNumberFormat="1" applyFont="1" applyBorder="1"/>
    <xf numFmtId="166" fontId="0" fillId="0" borderId="7" xfId="1" applyNumberFormat="1" applyFont="1" applyBorder="1"/>
    <xf numFmtId="44" fontId="0" fillId="0" borderId="1" xfId="1" applyFont="1" applyFill="1" applyBorder="1"/>
    <xf numFmtId="44" fontId="0" fillId="0" borderId="2" xfId="1" applyFont="1" applyFill="1" applyBorder="1"/>
    <xf numFmtId="44" fontId="0" fillId="0" borderId="3" xfId="1" applyFont="1" applyFill="1" applyBorder="1"/>
    <xf numFmtId="44" fontId="0" fillId="0" borderId="6" xfId="1" applyFont="1" applyFill="1" applyBorder="1"/>
    <xf numFmtId="44" fontId="0" fillId="0" borderId="0" xfId="1" applyFont="1" applyFill="1" applyBorder="1"/>
    <xf numFmtId="44" fontId="0" fillId="0" borderId="7" xfId="1" applyFont="1" applyFill="1" applyBorder="1"/>
    <xf numFmtId="44" fontId="0" fillId="0" borderId="13" xfId="1" applyFont="1" applyFill="1" applyBorder="1"/>
    <xf numFmtId="44" fontId="0" fillId="0" borderId="14" xfId="1" applyFont="1" applyFill="1" applyBorder="1"/>
    <xf numFmtId="0" fontId="0" fillId="0" borderId="13" xfId="0" applyBorder="1"/>
    <xf numFmtId="0" fontId="2" fillId="0" borderId="9" xfId="0" applyFont="1" applyBorder="1"/>
    <xf numFmtId="10" fontId="0" fillId="2" borderId="7" xfId="2" applyNumberFormat="1" applyFon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14" xfId="0" applyBorder="1" applyAlignment="1">
      <alignment horizontal="center"/>
    </xf>
    <xf numFmtId="44" fontId="0" fillId="2" borderId="14" xfId="1" applyFont="1" applyFill="1" applyBorder="1" applyAlignment="1">
      <alignment horizontal="center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4DCB54AF-E701-F749-930D-9888F1F5CBBC}">
  <we:reference id="wa200009404" version="1.0.0.8" store="en-US" storeType="OMEX"/>
  <we:alternateReferences>
    <we:reference id="WA200009404" version="1.0.0.8" store="WA200009404" storeType="OMEX"/>
  </we:alternateReferences>
  <we:properties>
    <we:property name="claude.fileId" value="&quot;2a99f3cd-c311-4700-9ca3-908cb3468aaa&quot;"/>
  </we:properties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3854D-BA96-894A-9436-623724B2ECE4}">
  <dimension ref="B2:N47"/>
  <sheetViews>
    <sheetView tabSelected="1" zoomScale="70" zoomScaleNormal="70" workbookViewId="0">
      <selection activeCell="J32" sqref="J32"/>
    </sheetView>
  </sheetViews>
  <sheetFormatPr baseColWidth="10" defaultRowHeight="16" x14ac:dyDescent="0.2"/>
  <cols>
    <col min="2" max="2" width="23.83203125" bestFit="1" customWidth="1"/>
    <col min="4" max="4" width="10.83203125" customWidth="1"/>
    <col min="6" max="6" width="17" customWidth="1"/>
    <col min="9" max="9" width="16.1640625" customWidth="1"/>
    <col min="10" max="10" width="12.1640625" customWidth="1"/>
  </cols>
  <sheetData>
    <row r="2" spans="2:14" x14ac:dyDescent="0.2">
      <c r="B2" s="42" t="s">
        <v>56</v>
      </c>
      <c r="C2" s="43"/>
      <c r="D2" s="69" t="s">
        <v>0</v>
      </c>
      <c r="E2" s="8"/>
      <c r="F2" s="8"/>
      <c r="G2" s="43"/>
    </row>
    <row r="3" spans="2:14" x14ac:dyDescent="0.2">
      <c r="B3" s="47" t="s">
        <v>72</v>
      </c>
      <c r="C3" s="70">
        <v>0.23050000000000001</v>
      </c>
      <c r="D3" t="s">
        <v>73</v>
      </c>
      <c r="G3" s="6"/>
    </row>
    <row r="4" spans="2:14" x14ac:dyDescent="0.2">
      <c r="B4" s="4" t="s">
        <v>71</v>
      </c>
      <c r="C4" s="71">
        <v>5</v>
      </c>
      <c r="D4" t="s">
        <v>70</v>
      </c>
      <c r="G4" s="6"/>
    </row>
    <row r="5" spans="2:14" x14ac:dyDescent="0.2">
      <c r="B5" s="4" t="s">
        <v>2</v>
      </c>
      <c r="C5" s="70">
        <v>4.2500000000000003E-2</v>
      </c>
      <c r="D5" t="s">
        <v>68</v>
      </c>
      <c r="G5" s="6"/>
    </row>
    <row r="6" spans="2:14" x14ac:dyDescent="0.2">
      <c r="B6" s="4" t="s">
        <v>5</v>
      </c>
      <c r="C6" s="70">
        <v>5.6000000000000001E-2</v>
      </c>
      <c r="D6" t="s">
        <v>69</v>
      </c>
      <c r="G6" s="6"/>
    </row>
    <row r="7" spans="2:14" x14ac:dyDescent="0.2">
      <c r="B7" s="4" t="s">
        <v>6</v>
      </c>
      <c r="C7" s="71">
        <v>1.59</v>
      </c>
      <c r="D7" t="s">
        <v>62</v>
      </c>
      <c r="G7" s="6"/>
    </row>
    <row r="8" spans="2:14" x14ac:dyDescent="0.2">
      <c r="B8" s="4" t="s">
        <v>7</v>
      </c>
      <c r="C8" s="70">
        <f>C5+C7*C6</f>
        <v>0.13154000000000002</v>
      </c>
      <c r="D8" t="s">
        <v>77</v>
      </c>
      <c r="G8" s="6"/>
      <c r="I8" s="7" t="s">
        <v>1</v>
      </c>
      <c r="J8" s="8"/>
      <c r="K8" s="8"/>
      <c r="L8" s="8"/>
      <c r="M8" s="8"/>
      <c r="N8" s="9"/>
    </row>
    <row r="9" spans="2:14" x14ac:dyDescent="0.2">
      <c r="B9" s="4" t="s">
        <v>8</v>
      </c>
      <c r="C9" s="70">
        <v>0.05</v>
      </c>
      <c r="D9" t="s">
        <v>64</v>
      </c>
      <c r="G9" s="6"/>
      <c r="I9" s="10" t="s">
        <v>3</v>
      </c>
      <c r="J9" s="11"/>
      <c r="K9" s="12" t="s">
        <v>4</v>
      </c>
      <c r="L9" s="11"/>
      <c r="M9" s="11"/>
      <c r="N9" s="13"/>
    </row>
    <row r="10" spans="2:14" x14ac:dyDescent="0.2">
      <c r="B10" s="4" t="s">
        <v>9</v>
      </c>
      <c r="C10" s="70">
        <v>0.25</v>
      </c>
      <c r="D10" t="s">
        <v>65</v>
      </c>
      <c r="G10" s="6"/>
      <c r="I10" s="14">
        <f>C47</f>
        <v>9.7600716145833353</v>
      </c>
      <c r="J10" s="15">
        <v>2.5000000000000001E-2</v>
      </c>
      <c r="K10" s="15">
        <v>0.03</v>
      </c>
      <c r="L10" s="15">
        <v>3.5000000000000003E-2</v>
      </c>
      <c r="M10" s="15">
        <v>0.04</v>
      </c>
      <c r="N10" s="16">
        <v>4.4999999999999998E-2</v>
      </c>
    </row>
    <row r="11" spans="2:14" x14ac:dyDescent="0.2">
      <c r="B11" s="4" t="s">
        <v>10</v>
      </c>
      <c r="C11" s="70">
        <v>7.4999999999999997E-2</v>
      </c>
      <c r="D11" t="s">
        <v>63</v>
      </c>
      <c r="G11" s="6"/>
      <c r="I11" s="17">
        <v>0.06</v>
      </c>
      <c r="J11" s="60">
        <f t="dataTable" ref="J11:N16" dt2D="1" dtr="1" r1="C12" r2="C11" ca="1"/>
        <v>11.905806361607141</v>
      </c>
      <c r="K11" s="61">
        <v>13.515107421874998</v>
      </c>
      <c r="L11" s="61">
        <v>15.768128906249999</v>
      </c>
      <c r="M11" s="61">
        <v>19.147661132812498</v>
      </c>
      <c r="N11" s="62">
        <v>24.780214843749999</v>
      </c>
    </row>
    <row r="12" spans="2:14" x14ac:dyDescent="0.2">
      <c r="B12" s="4" t="s">
        <v>11</v>
      </c>
      <c r="C12" s="70">
        <v>0.03</v>
      </c>
      <c r="D12" t="s">
        <v>66</v>
      </c>
      <c r="G12" s="6"/>
      <c r="I12" s="17">
        <v>6.5000000000000002E-2</v>
      </c>
      <c r="J12" s="63">
        <v>10.698830566406253</v>
      </c>
      <c r="K12" s="64">
        <v>11.905806361607146</v>
      </c>
      <c r="L12" s="64">
        <v>13.515107421875003</v>
      </c>
      <c r="M12" s="64">
        <v>15.768128906250004</v>
      </c>
      <c r="N12" s="65">
        <v>19.147661132812505</v>
      </c>
    </row>
    <row r="13" spans="2:14" x14ac:dyDescent="0.2">
      <c r="B13" s="4" t="s">
        <v>57</v>
      </c>
      <c r="C13" s="71">
        <v>15</v>
      </c>
      <c r="D13" t="s">
        <v>60</v>
      </c>
      <c r="G13" s="6"/>
      <c r="I13" s="17">
        <v>7.0000000000000007E-2</v>
      </c>
      <c r="J13" s="63">
        <v>9.7600716145833317</v>
      </c>
      <c r="K13" s="64">
        <v>10.698830566406247</v>
      </c>
      <c r="L13" s="64">
        <v>11.905806361607141</v>
      </c>
      <c r="M13" s="64">
        <v>13.515107421874999</v>
      </c>
      <c r="N13" s="65">
        <v>15.768128906249999</v>
      </c>
    </row>
    <row r="14" spans="2:14" x14ac:dyDescent="0.2">
      <c r="B14" s="4" t="s">
        <v>58</v>
      </c>
      <c r="C14" s="70">
        <v>4.0000000000000001E-3</v>
      </c>
      <c r="D14" t="s">
        <v>61</v>
      </c>
      <c r="G14" s="6"/>
      <c r="I14" s="17">
        <v>7.4999999999999997E-2</v>
      </c>
      <c r="J14" s="63">
        <v>9.009064453125001</v>
      </c>
      <c r="K14" s="23">
        <v>9.7600716145833353</v>
      </c>
      <c r="L14" s="64">
        <v>10.698830566406251</v>
      </c>
      <c r="M14" s="64">
        <v>11.905806361607146</v>
      </c>
      <c r="N14" s="65">
        <v>13.515107421875003</v>
      </c>
    </row>
    <row r="15" spans="2:14" x14ac:dyDescent="0.2">
      <c r="B15" s="4" t="s">
        <v>59</v>
      </c>
      <c r="C15" s="70">
        <v>0.05</v>
      </c>
      <c r="D15" t="s">
        <v>67</v>
      </c>
      <c r="G15" s="6"/>
      <c r="I15" s="25">
        <v>0.08</v>
      </c>
      <c r="J15" s="64">
        <v>8.394604048295454</v>
      </c>
      <c r="K15" s="64">
        <v>9.0090644531249993</v>
      </c>
      <c r="L15" s="64">
        <v>9.7600716145833317</v>
      </c>
      <c r="M15" s="64">
        <v>10.698830566406247</v>
      </c>
      <c r="N15" s="65">
        <v>11.905806361607143</v>
      </c>
    </row>
    <row r="16" spans="2:14" x14ac:dyDescent="0.2">
      <c r="B16" s="26" t="s">
        <v>76</v>
      </c>
      <c r="C16" s="73">
        <v>-5.76</v>
      </c>
      <c r="D16" s="68" t="s">
        <v>75</v>
      </c>
      <c r="E16" s="68"/>
      <c r="F16" s="68"/>
      <c r="G16" s="27"/>
      <c r="I16" s="28">
        <v>8.5000000000000006E-2</v>
      </c>
      <c r="J16" s="66">
        <v>7.8825537109375006</v>
      </c>
      <c r="K16" s="66">
        <v>8.394604048295454</v>
      </c>
      <c r="L16" s="66">
        <v>9.009064453125001</v>
      </c>
      <c r="M16" s="66">
        <v>9.7600716145833353</v>
      </c>
      <c r="N16" s="67">
        <v>10.698830566406253</v>
      </c>
    </row>
    <row r="17" spans="2:14" x14ac:dyDescent="0.2">
      <c r="I17" s="57"/>
      <c r="J17" s="64"/>
      <c r="K17" s="64"/>
      <c r="L17" s="64"/>
      <c r="M17" s="64"/>
      <c r="N17" s="64"/>
    </row>
    <row r="18" spans="2:14" x14ac:dyDescent="0.2">
      <c r="B18" s="1" t="s">
        <v>12</v>
      </c>
      <c r="C18" s="2"/>
      <c r="D18" s="2"/>
      <c r="E18" s="2"/>
      <c r="F18" s="2"/>
      <c r="G18" s="3"/>
      <c r="I18" s="7" t="s">
        <v>13</v>
      </c>
      <c r="J18" s="8"/>
      <c r="K18" s="8"/>
      <c r="L18" s="8"/>
      <c r="M18" s="8"/>
      <c r="N18" s="9"/>
    </row>
    <row r="19" spans="2:14" x14ac:dyDescent="0.2">
      <c r="B19" s="31"/>
      <c r="C19" t="s">
        <v>14</v>
      </c>
      <c r="D19" t="s">
        <v>15</v>
      </c>
      <c r="E19" t="s">
        <v>16</v>
      </c>
      <c r="F19" t="s">
        <v>17</v>
      </c>
      <c r="G19" s="6" t="s">
        <v>18</v>
      </c>
      <c r="I19" s="10" t="s">
        <v>3</v>
      </c>
      <c r="J19" s="11"/>
      <c r="K19" s="12" t="s">
        <v>19</v>
      </c>
      <c r="L19" s="11"/>
      <c r="M19" s="11"/>
      <c r="N19" s="13"/>
    </row>
    <row r="20" spans="2:14" x14ac:dyDescent="0.2">
      <c r="B20" s="5" t="s">
        <v>20</v>
      </c>
      <c r="C20" s="58">
        <v>4.1420000000000003</v>
      </c>
      <c r="D20" s="58">
        <f>C20+(C20*$C$12)</f>
        <v>4.2662599999999999</v>
      </c>
      <c r="E20" s="58">
        <f t="shared" ref="E20:G20" si="0">D20+(D20*$C$12)</f>
        <v>4.3942477999999996</v>
      </c>
      <c r="F20" s="58">
        <f t="shared" si="0"/>
        <v>4.5260752339999994</v>
      </c>
      <c r="G20" s="59">
        <f t="shared" si="0"/>
        <v>4.6618574910199992</v>
      </c>
      <c r="I20" s="14">
        <f>G47</f>
        <v>9.0327156264716244</v>
      </c>
      <c r="J20" s="32">
        <v>14</v>
      </c>
      <c r="K20" s="32">
        <v>15</v>
      </c>
      <c r="L20" s="32">
        <v>16</v>
      </c>
      <c r="M20" s="32">
        <v>17</v>
      </c>
      <c r="N20" s="33">
        <v>18</v>
      </c>
    </row>
    <row r="21" spans="2:14" x14ac:dyDescent="0.2">
      <c r="B21" s="5" t="s">
        <v>21</v>
      </c>
      <c r="C21" s="58">
        <f>C20*$C$3</f>
        <v>0.95473100000000011</v>
      </c>
      <c r="D21" s="58">
        <f t="shared" ref="D21:G21" si="1">D20*$C$3</f>
        <v>0.98337293000000003</v>
      </c>
      <c r="E21" s="58">
        <f t="shared" si="1"/>
        <v>1.0128741179</v>
      </c>
      <c r="F21" s="58">
        <f t="shared" si="1"/>
        <v>1.0432603414369999</v>
      </c>
      <c r="G21" s="59">
        <f t="shared" si="1"/>
        <v>1.0745581516801099</v>
      </c>
      <c r="I21" s="34">
        <v>0.06</v>
      </c>
      <c r="J21" s="18">
        <f t="dataTable" ref="J21:N26" dt2D="1" dtr="1" r1="C13" r2="C11"/>
        <v>9.1002086726831184</v>
      </c>
      <c r="K21" s="19">
        <v>9.4819090307330729</v>
      </c>
      <c r="L21" s="19">
        <v>9.8636093887830292</v>
      </c>
      <c r="M21" s="19">
        <v>10.245309746832982</v>
      </c>
      <c r="N21" s="20">
        <v>10.627010104882936</v>
      </c>
    </row>
    <row r="22" spans="2:14" x14ac:dyDescent="0.2">
      <c r="B22" s="5" t="s">
        <v>22</v>
      </c>
      <c r="C22" s="58">
        <f>C21*$C$10</f>
        <v>0.23868275000000003</v>
      </c>
      <c r="D22" s="58">
        <f t="shared" ref="D22:G22" si="2">D21*$C$10</f>
        <v>0.24584323250000001</v>
      </c>
      <c r="E22" s="58">
        <f t="shared" si="2"/>
        <v>0.25321852947500001</v>
      </c>
      <c r="F22" s="58">
        <f t="shared" si="2"/>
        <v>0.26081508535924997</v>
      </c>
      <c r="G22" s="59">
        <f t="shared" si="2"/>
        <v>0.26863953792002748</v>
      </c>
      <c r="I22" s="34">
        <v>6.5000000000000002E-2</v>
      </c>
      <c r="J22" s="21">
        <v>8.9552561959024306</v>
      </c>
      <c r="K22" s="22">
        <v>9.3280801900051831</v>
      </c>
      <c r="L22" s="22">
        <v>9.7009041841079391</v>
      </c>
      <c r="M22" s="64">
        <v>10.073728178210692</v>
      </c>
      <c r="N22" s="24">
        <v>10.446552172313444</v>
      </c>
    </row>
    <row r="23" spans="2:14" x14ac:dyDescent="0.2">
      <c r="B23" s="5" t="s">
        <v>23</v>
      </c>
      <c r="C23" s="58">
        <f>C21-C22</f>
        <v>0.71604825000000005</v>
      </c>
      <c r="D23" s="58">
        <f t="shared" ref="D23:G23" si="3">D21-D22</f>
        <v>0.73752969750000008</v>
      </c>
      <c r="E23" s="58">
        <f t="shared" si="3"/>
        <v>0.75965558842500003</v>
      </c>
      <c r="F23" s="58">
        <f t="shared" si="3"/>
        <v>0.78244525607774995</v>
      </c>
      <c r="G23" s="59">
        <f t="shared" si="3"/>
        <v>0.80591861376008245</v>
      </c>
      <c r="I23" s="34">
        <v>7.0000000000000007E-2</v>
      </c>
      <c r="J23" s="21">
        <v>8.8141987013359131</v>
      </c>
      <c r="K23" s="22">
        <v>9.1783928846524834</v>
      </c>
      <c r="L23" s="22">
        <v>9.5425870679690519</v>
      </c>
      <c r="M23" s="22">
        <v>9.9067812512856204</v>
      </c>
      <c r="N23" s="24">
        <v>10.270975434602189</v>
      </c>
    </row>
    <row r="24" spans="2:14" x14ac:dyDescent="0.2">
      <c r="B24" s="5" t="s">
        <v>24</v>
      </c>
      <c r="C24" s="58">
        <f>C20*$C$15</f>
        <v>0.20710000000000003</v>
      </c>
      <c r="D24" s="58">
        <f t="shared" ref="D24:G24" si="4">D20*$C$15</f>
        <v>0.213313</v>
      </c>
      <c r="E24" s="58">
        <f t="shared" si="4"/>
        <v>0.21971238999999998</v>
      </c>
      <c r="F24" s="58">
        <f t="shared" si="4"/>
        <v>0.22630376169999999</v>
      </c>
      <c r="G24" s="59">
        <f t="shared" si="4"/>
        <v>0.23309287455099997</v>
      </c>
      <c r="I24" s="34">
        <v>7.4999999999999997E-2</v>
      </c>
      <c r="J24" s="21">
        <v>8.6769126536502323</v>
      </c>
      <c r="K24" s="23">
        <v>9.0327156264716244</v>
      </c>
      <c r="L24" s="22">
        <v>9.3885185992930182</v>
      </c>
      <c r="M24" s="22">
        <v>9.7443215721144121</v>
      </c>
      <c r="N24" s="24">
        <v>10.100124544935806</v>
      </c>
    </row>
    <row r="25" spans="2:14" x14ac:dyDescent="0.2">
      <c r="B25" s="5" t="s">
        <v>25</v>
      </c>
      <c r="C25" s="58">
        <f>C20*$C$14</f>
        <v>1.6568000000000003E-2</v>
      </c>
      <c r="D25" s="58">
        <f t="shared" ref="D25:G25" si="5">D20*$C$14</f>
        <v>1.706504E-2</v>
      </c>
      <c r="E25" s="58">
        <f t="shared" si="5"/>
        <v>1.7576991199999999E-2</v>
      </c>
      <c r="F25" s="58">
        <f t="shared" si="5"/>
        <v>1.8104300935999997E-2</v>
      </c>
      <c r="G25" s="59">
        <f t="shared" si="5"/>
        <v>1.8647429964079996E-2</v>
      </c>
      <c r="I25" s="35">
        <v>0.08</v>
      </c>
      <c r="J25" s="21">
        <v>8.5432790045683689</v>
      </c>
      <c r="K25" s="22">
        <v>8.8909217061452583</v>
      </c>
      <c r="L25" s="22">
        <v>9.238564407722146</v>
      </c>
      <c r="M25" s="22">
        <v>9.5862071092990355</v>
      </c>
      <c r="N25" s="24">
        <v>9.933849810875925</v>
      </c>
    </row>
    <row r="26" spans="2:14" x14ac:dyDescent="0.2">
      <c r="B26" s="5" t="s">
        <v>26</v>
      </c>
      <c r="C26" s="58">
        <f>C20*0.01</f>
        <v>4.1420000000000005E-2</v>
      </c>
      <c r="D26" s="58">
        <f t="shared" ref="D26:G26" si="6">D20*0.01</f>
        <v>4.2662600000000002E-2</v>
      </c>
      <c r="E26" s="58">
        <f t="shared" si="6"/>
        <v>4.3942478E-2</v>
      </c>
      <c r="F26" s="58">
        <f t="shared" si="6"/>
        <v>4.5260752339999995E-2</v>
      </c>
      <c r="G26" s="59">
        <f t="shared" si="6"/>
        <v>4.6618574910199995E-2</v>
      </c>
      <c r="I26" s="36">
        <v>8.5000000000000006E-2</v>
      </c>
      <c r="J26" s="37">
        <v>8.4131830097406546</v>
      </c>
      <c r="K26" s="29">
        <v>8.7528889981209002</v>
      </c>
      <c r="L26" s="29">
        <v>9.0925949865011422</v>
      </c>
      <c r="M26" s="29">
        <v>9.4323009748813877</v>
      </c>
      <c r="N26" s="30">
        <v>9.7720069632616333</v>
      </c>
    </row>
    <row r="27" spans="2:14" x14ac:dyDescent="0.2">
      <c r="B27" s="38" t="s">
        <v>27</v>
      </c>
      <c r="C27" s="39">
        <f>C23+C24-C25-C26</f>
        <v>0.86516025000000008</v>
      </c>
      <c r="D27" s="39">
        <f t="shared" ref="D27:G27" si="7">D23+D24-D25-D26</f>
        <v>0.89111505750000009</v>
      </c>
      <c r="E27" s="39">
        <f t="shared" si="7"/>
        <v>0.91784850922500005</v>
      </c>
      <c r="F27" s="39">
        <f t="shared" si="7"/>
        <v>0.94538396450174977</v>
      </c>
      <c r="G27" s="40">
        <f t="shared" si="7"/>
        <v>0.97374548343680245</v>
      </c>
    </row>
    <row r="29" spans="2:14" x14ac:dyDescent="0.2">
      <c r="B29" s="41" t="s">
        <v>28</v>
      </c>
      <c r="C29" s="2"/>
      <c r="D29" s="2"/>
      <c r="E29" s="2"/>
      <c r="F29" s="2"/>
      <c r="G29" s="3"/>
      <c r="I29" s="42" t="s">
        <v>29</v>
      </c>
      <c r="J29" s="43"/>
    </row>
    <row r="30" spans="2:14" x14ac:dyDescent="0.2">
      <c r="B30" s="31"/>
      <c r="C30" t="s">
        <v>14</v>
      </c>
      <c r="D30" t="s">
        <v>15</v>
      </c>
      <c r="E30" t="s">
        <v>16</v>
      </c>
      <c r="F30" t="s">
        <v>17</v>
      </c>
      <c r="G30" s="6" t="s">
        <v>18</v>
      </c>
      <c r="I30" s="44" t="s">
        <v>30</v>
      </c>
      <c r="J30" s="27" t="s">
        <v>31</v>
      </c>
    </row>
    <row r="31" spans="2:14" x14ac:dyDescent="0.2">
      <c r="B31" s="5" t="s">
        <v>32</v>
      </c>
      <c r="C31" s="45">
        <f>C27</f>
        <v>0.86516025000000008</v>
      </c>
      <c r="D31" s="45">
        <f t="shared" ref="D31:G31" si="8">D27</f>
        <v>0.89111505750000009</v>
      </c>
      <c r="E31" s="45">
        <f t="shared" si="8"/>
        <v>0.91784850922500005</v>
      </c>
      <c r="F31" s="45">
        <f t="shared" si="8"/>
        <v>0.94538396450174977</v>
      </c>
      <c r="G31" s="46">
        <f t="shared" si="8"/>
        <v>0.97374548343680245</v>
      </c>
      <c r="I31" s="47" t="s">
        <v>33</v>
      </c>
      <c r="J31" s="46">
        <f>C47</f>
        <v>9.7600716145833353</v>
      </c>
    </row>
    <row r="32" spans="2:14" x14ac:dyDescent="0.2">
      <c r="B32" s="31" t="s">
        <v>34</v>
      </c>
      <c r="C32" s="48">
        <f>1/(1+$C$11)^1</f>
        <v>0.93023255813953487</v>
      </c>
      <c r="D32" s="48">
        <f>1/(1+$C$11)^2</f>
        <v>0.86533261222282321</v>
      </c>
      <c r="E32" s="48">
        <f>1/(1+$C$11)^3</f>
        <v>0.80496056950960304</v>
      </c>
      <c r="F32" s="48">
        <f>1/(1+$C$11)^4</f>
        <v>0.7488005297763749</v>
      </c>
      <c r="G32" s="49">
        <f>1/(1+$C$11)^5</f>
        <v>0.69655863235011617</v>
      </c>
      <c r="I32" s="4" t="s">
        <v>35</v>
      </c>
      <c r="J32" s="46">
        <f>G47</f>
        <v>9.0327156264716244</v>
      </c>
    </row>
    <row r="33" spans="2:10" x14ac:dyDescent="0.2">
      <c r="B33" s="38" t="s">
        <v>36</v>
      </c>
      <c r="C33" s="50">
        <f>C31*C32</f>
        <v>0.80480023255813959</v>
      </c>
      <c r="D33" s="50">
        <f t="shared" ref="D33:G33" si="9">D31*D32</f>
        <v>0.77111092049756635</v>
      </c>
      <c r="E33" s="50">
        <f t="shared" si="9"/>
        <v>0.73883185870929613</v>
      </c>
      <c r="F33" s="50">
        <f t="shared" si="9"/>
        <v>0.70790401346099985</v>
      </c>
      <c r="G33" s="50">
        <f t="shared" si="9"/>
        <v>0.67827082219984181</v>
      </c>
      <c r="I33" s="26" t="s">
        <v>37</v>
      </c>
      <c r="J33" s="72" t="s">
        <v>74</v>
      </c>
    </row>
    <row r="35" spans="2:10" x14ac:dyDescent="0.2">
      <c r="B35" s="41" t="s">
        <v>38</v>
      </c>
      <c r="C35" s="2"/>
      <c r="D35" s="31"/>
      <c r="F35" s="1" t="s">
        <v>39</v>
      </c>
      <c r="G35" s="52"/>
    </row>
    <row r="36" spans="2:10" x14ac:dyDescent="0.2">
      <c r="B36" s="31" t="s">
        <v>40</v>
      </c>
      <c r="C36" s="45">
        <f>G27</f>
        <v>0.97374548343680245</v>
      </c>
      <c r="D36" s="31"/>
      <c r="F36" s="31" t="s">
        <v>41</v>
      </c>
      <c r="G36" s="46">
        <f>G21+G24</f>
        <v>1.3076510262311098</v>
      </c>
    </row>
    <row r="37" spans="2:10" x14ac:dyDescent="0.2">
      <c r="B37" s="5" t="s">
        <v>42</v>
      </c>
      <c r="C37" s="45">
        <f>C36*(1+C12)/(C11-C12)</f>
        <v>22.287952176442371</v>
      </c>
      <c r="D37" s="31"/>
      <c r="F37" s="31" t="s">
        <v>43</v>
      </c>
      <c r="G37" s="53">
        <f>C13</f>
        <v>15</v>
      </c>
    </row>
    <row r="38" spans="2:10" x14ac:dyDescent="0.2">
      <c r="B38" s="54" t="s">
        <v>44</v>
      </c>
      <c r="C38" s="55">
        <f>C37/(1+C11)^5</f>
        <v>15.524865485907492</v>
      </c>
      <c r="D38" s="31"/>
      <c r="F38" s="31" t="s">
        <v>45</v>
      </c>
      <c r="G38" s="46">
        <f>G37*G36</f>
        <v>19.614765393466648</v>
      </c>
    </row>
    <row r="39" spans="2:10" x14ac:dyDescent="0.2">
      <c r="F39" s="31"/>
      <c r="G39" s="46"/>
    </row>
    <row r="40" spans="2:10" x14ac:dyDescent="0.2">
      <c r="B40" s="1" t="s">
        <v>46</v>
      </c>
      <c r="C40" s="2"/>
      <c r="D40" s="31"/>
      <c r="F40" s="31" t="s">
        <v>47</v>
      </c>
      <c r="G40" s="46">
        <f>G38/(1+C11)^5</f>
        <v>13.662834156341516</v>
      </c>
    </row>
    <row r="41" spans="2:10" x14ac:dyDescent="0.2">
      <c r="B41" s="31" t="s">
        <v>48</v>
      </c>
      <c r="C41" s="45">
        <f>SUM(C33:G33)</f>
        <v>3.7009178474258442</v>
      </c>
      <c r="D41" s="31"/>
      <c r="F41" s="31" t="s">
        <v>36</v>
      </c>
      <c r="G41" s="46">
        <f>SUM(C33:G33)</f>
        <v>3.7009178474258442</v>
      </c>
    </row>
    <row r="42" spans="2:10" x14ac:dyDescent="0.2">
      <c r="B42" s="31" t="s">
        <v>44</v>
      </c>
      <c r="C42" s="45">
        <f>C38</f>
        <v>15.524865485907492</v>
      </c>
      <c r="D42" s="31"/>
      <c r="F42" s="31" t="s">
        <v>49</v>
      </c>
      <c r="G42" s="46">
        <f>SUM(G40:G41)</f>
        <v>17.36375200376736</v>
      </c>
    </row>
    <row r="43" spans="2:10" x14ac:dyDescent="0.2">
      <c r="B43" s="31" t="s">
        <v>50</v>
      </c>
      <c r="C43" s="45">
        <f>C42+C41</f>
        <v>19.225783333333336</v>
      </c>
      <c r="D43" s="31"/>
      <c r="F43" s="31" t="s">
        <v>51</v>
      </c>
      <c r="G43" s="46">
        <f>C16</f>
        <v>-5.76</v>
      </c>
    </row>
    <row r="44" spans="2:10" x14ac:dyDescent="0.2">
      <c r="B44" s="31" t="s">
        <v>52</v>
      </c>
      <c r="C44" s="22">
        <f>C16</f>
        <v>-5.76</v>
      </c>
      <c r="D44" s="31"/>
      <c r="F44" s="31"/>
      <c r="G44" s="6"/>
    </row>
    <row r="45" spans="2:10" x14ac:dyDescent="0.2">
      <c r="B45" s="31" t="s">
        <v>53</v>
      </c>
      <c r="C45" s="45">
        <f>C43-C44</f>
        <v>24.985783333333337</v>
      </c>
      <c r="D45" s="31"/>
      <c r="F45" s="31" t="s">
        <v>53</v>
      </c>
      <c r="G45" s="46">
        <f>G42-G43</f>
        <v>23.123752003767358</v>
      </c>
    </row>
    <row r="46" spans="2:10" x14ac:dyDescent="0.2">
      <c r="B46" s="31" t="s">
        <v>54</v>
      </c>
      <c r="C46">
        <v>2.56</v>
      </c>
      <c r="D46" s="31"/>
      <c r="F46" s="31" t="s">
        <v>54</v>
      </c>
      <c r="G46" s="6">
        <f>C46</f>
        <v>2.56</v>
      </c>
    </row>
    <row r="47" spans="2:10" x14ac:dyDescent="0.2">
      <c r="B47" s="56" t="s">
        <v>55</v>
      </c>
      <c r="C47" s="50">
        <f>C45/C46</f>
        <v>9.7600716145833353</v>
      </c>
      <c r="D47" s="31"/>
      <c r="F47" s="56" t="s">
        <v>55</v>
      </c>
      <c r="G47" s="51">
        <f>G45/G46</f>
        <v>9.0327156264716244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DCF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Tous, Victor</dc:creator>
  <cp:lastModifiedBy>Tous, Victor</cp:lastModifiedBy>
  <dcterms:created xsi:type="dcterms:W3CDTF">2025-09-02T02:40:11Z</dcterms:created>
  <dcterms:modified xsi:type="dcterms:W3CDTF">2026-06-12T01:07:26Z</dcterms:modified>
</cp:coreProperties>
</file>