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victor/Desktop/Financial Models/"/>
    </mc:Choice>
  </mc:AlternateContent>
  <xr:revisionPtr revIDLastSave="0" documentId="13_ncr:1_{08FC40D6-6833-ED4B-ACD9-C6A40105FA8C}" xr6:coauthVersionLast="47" xr6:coauthVersionMax="47" xr10:uidLastSave="{00000000-0000-0000-0000-000000000000}"/>
  <bookViews>
    <workbookView xWindow="0" yWindow="740" windowWidth="29400" windowHeight="18380" xr2:uid="{931A260D-5433-C247-85E7-488D6D2BFCBB}"/>
  </bookViews>
  <sheets>
    <sheet name="DCF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1" l="1"/>
  <c r="C44" i="1"/>
  <c r="G43" i="1" s="1"/>
  <c r="G46" i="1"/>
  <c r="G32" i="1"/>
  <c r="F32" i="1"/>
  <c r="E32" i="1"/>
  <c r="D32" i="1"/>
  <c r="C32" i="1"/>
  <c r="C26" i="1"/>
  <c r="C25" i="1"/>
  <c r="C24" i="1"/>
  <c r="D20" i="1"/>
  <c r="D25" i="1" s="1"/>
  <c r="D21" i="1" l="1"/>
  <c r="D24" i="1"/>
  <c r="E20" i="1"/>
  <c r="D26" i="1"/>
  <c r="F20" i="1" l="1"/>
  <c r="E21" i="1"/>
  <c r="E25" i="1"/>
  <c r="E24" i="1"/>
  <c r="E26" i="1"/>
  <c r="D22" i="1"/>
  <c r="E22" i="1" l="1"/>
  <c r="G20" i="1"/>
  <c r="F25" i="1"/>
  <c r="F24" i="1"/>
  <c r="F26" i="1"/>
  <c r="F21" i="1"/>
  <c r="F22" i="1" l="1"/>
  <c r="G25" i="1"/>
  <c r="G26" i="1"/>
  <c r="G24" i="1"/>
  <c r="G21" i="1"/>
  <c r="G36" i="1" l="1"/>
  <c r="G38" i="1" s="1"/>
  <c r="G40" i="1" s="1"/>
  <c r="G22" i="1"/>
  <c r="C21" i="1" l="1"/>
  <c r="C8" i="1"/>
  <c r="C22" i="1" l="1"/>
  <c r="D23" i="1" l="1"/>
  <c r="D27" i="1" s="1"/>
  <c r="D31" i="1" s="1"/>
  <c r="D33" i="1" s="1"/>
  <c r="E23" i="1"/>
  <c r="E27" i="1" s="1"/>
  <c r="E31" i="1" s="1"/>
  <c r="E33" i="1" s="1"/>
  <c r="F23" i="1"/>
  <c r="F27" i="1" s="1"/>
  <c r="F31" i="1" s="1"/>
  <c r="F33" i="1" s="1"/>
  <c r="G23" i="1"/>
  <c r="G27" i="1" s="1"/>
  <c r="C23" i="1"/>
  <c r="C27" i="1" s="1"/>
  <c r="C31" i="1" s="1"/>
  <c r="C33" i="1" s="1"/>
  <c r="C36" i="1" l="1"/>
  <c r="C37" i="1" s="1"/>
  <c r="C38" i="1" s="1"/>
  <c r="C42" i="1" s="1"/>
  <c r="G31" i="1"/>
  <c r="G33" i="1" s="1"/>
  <c r="C41" i="1" s="1"/>
  <c r="C43" i="1" s="1"/>
  <c r="C45" i="1" s="1"/>
  <c r="C47" i="1" s="1"/>
  <c r="J31" i="1" l="1"/>
  <c r="I10" i="1"/>
  <c r="G41" i="1"/>
  <c r="G42" i="1" s="1"/>
  <c r="G45" i="1" s="1"/>
  <c r="G47" i="1" s="1"/>
  <c r="I20" i="1" l="1"/>
  <c r="J32" i="1"/>
</calcChain>
</file>

<file path=xl/sharedStrings.xml><?xml version="1.0" encoding="utf-8"?>
<sst xmlns="http://schemas.openxmlformats.org/spreadsheetml/2006/main" count="88" uniqueCount="77">
  <si>
    <t xml:space="preserve">Assumptions </t>
  </si>
  <si>
    <t>Comments</t>
  </si>
  <si>
    <t xml:space="preserve">Operating Margins </t>
  </si>
  <si>
    <t>Forcast Period (Years)</t>
  </si>
  <si>
    <t>Risk-Free Rate</t>
  </si>
  <si>
    <t>Market Risk Premium</t>
  </si>
  <si>
    <t>Beta</t>
  </si>
  <si>
    <t>Cost of Equity</t>
  </si>
  <si>
    <t>Cost of Debt</t>
  </si>
  <si>
    <t>Tax Rate</t>
  </si>
  <si>
    <t>WACC</t>
  </si>
  <si>
    <t>Growth (g)</t>
  </si>
  <si>
    <t>Exit Multiple (EV/EBITDA)</t>
  </si>
  <si>
    <t>CapEx % of Revenue</t>
  </si>
  <si>
    <t>D&amp;A % of Revenue</t>
  </si>
  <si>
    <t>Net Debt (Billions)</t>
  </si>
  <si>
    <t>Consistent with other models and industry standard</t>
  </si>
  <si>
    <t>Current U.S. 10-Year Treasury yield</t>
  </si>
  <si>
    <t>Long-term equity risk premium average.</t>
  </si>
  <si>
    <t>Reflects Uber’s volatility relative to market</t>
  </si>
  <si>
    <t>Based on reported interest costs range</t>
  </si>
  <si>
    <t>Estimated current WACC for Uber</t>
  </si>
  <si>
    <t>Modest steady-state growth assumption.</t>
  </si>
  <si>
    <t>Uber’s LTM EV/EBITDA average multiple</t>
  </si>
  <si>
    <t>Based on LTM capex as a percentage of revenue</t>
  </si>
  <si>
    <t>Using LTM D&amp;A (~$721M) vs. revenue ($47.3B)</t>
  </si>
  <si>
    <t>Cash &amp; equivalents as of June 2025 via. SECNasdaq</t>
  </si>
  <si>
    <t>Trailing‑twelve‑month ($4.51B/$47.33B) ~ June 2025</t>
  </si>
  <si>
    <t>Calculated via CAPM ($4.25% + 1.43 * 5.60%)</t>
  </si>
  <si>
    <t>Forcast Financials (Billions)</t>
  </si>
  <si>
    <t>2025F</t>
  </si>
  <si>
    <t>2026F</t>
  </si>
  <si>
    <t>2027F</t>
  </si>
  <si>
    <t>2028F</t>
  </si>
  <si>
    <t>2029F</t>
  </si>
  <si>
    <t xml:space="preserve">Revenue </t>
  </si>
  <si>
    <t>EBIT (Operating Income)</t>
  </si>
  <si>
    <t>Less: Taxes (EBIT x Tax)</t>
  </si>
  <si>
    <t>NOPAT (EBIT - Taxes)</t>
  </si>
  <si>
    <t>Add: Dep. &amp;  Amort</t>
  </si>
  <si>
    <t>Less: CapEx</t>
  </si>
  <si>
    <t>Less: Change in NWC</t>
  </si>
  <si>
    <t>Unlevered Free Cash Flow</t>
  </si>
  <si>
    <t>Discounted Cash Flow</t>
  </si>
  <si>
    <t>FCF</t>
  </si>
  <si>
    <t xml:space="preserve">Discount Factor </t>
  </si>
  <si>
    <t>PV of FCF</t>
  </si>
  <si>
    <t>Terminal Value</t>
  </si>
  <si>
    <t xml:space="preserve">Final Year FCF </t>
  </si>
  <si>
    <t xml:space="preserve">Terminal Value </t>
  </si>
  <si>
    <t>PV of Terminal Value</t>
  </si>
  <si>
    <t>Exit Multiple Method</t>
  </si>
  <si>
    <t>EBITDA (2029F)</t>
  </si>
  <si>
    <t>Exit Multiple</t>
  </si>
  <si>
    <t>TV Exit</t>
  </si>
  <si>
    <t>Enterprise &amp; Equity Value</t>
  </si>
  <si>
    <t>PV of TV Exit</t>
  </si>
  <si>
    <t>Sum of PV of FCFs</t>
  </si>
  <si>
    <t>EV of Exit</t>
  </si>
  <si>
    <t>Enterprise Value</t>
  </si>
  <si>
    <t>Net Debt</t>
  </si>
  <si>
    <t>Less: Net Debt</t>
  </si>
  <si>
    <t>Equity Value</t>
  </si>
  <si>
    <t>Shares Outstanding</t>
  </si>
  <si>
    <t>Implied Share Price</t>
  </si>
  <si>
    <t>Sensitivity Table: Terminal Growth vs. WACC</t>
  </si>
  <si>
    <t xml:space="preserve">WACC </t>
  </si>
  <si>
    <t>Terminal Growth Rate (g)</t>
  </si>
  <si>
    <t>Sensitivity Table: Exit Multiple vs. WACC</t>
  </si>
  <si>
    <t>EV/EBITDA (multiple X)</t>
  </si>
  <si>
    <t>Summary Table</t>
  </si>
  <si>
    <t>Method</t>
  </si>
  <si>
    <t>Implied Price</t>
  </si>
  <si>
    <t>Perpetuity Growth</t>
  </si>
  <si>
    <t>Exit Multiple (15x)</t>
  </si>
  <si>
    <t>Valuation Range</t>
  </si>
  <si>
    <t>$29 - $40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</si>
</sst>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0.0000"/>
    <numFmt numFmtId="165" formatCode="0.0%"/>
  </numFmts>
  <fonts count="6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rgb="FF000000"/>
      <name val="Aptos Narrow"/>
      <family val="2"/>
      <scheme val="minor"/>
    </font>
    <font>
      <b/>
      <sz val="12"/>
      <color rgb="FF000000"/>
      <name val="Aptos Narrow"/>
      <scheme val="minor"/>
    </font>
    <font>
      <b/>
      <sz val="12"/>
      <color theme="1"/>
      <name val="Aptos Display"/>
      <scheme val="major"/>
    </font>
  </fonts>
  <fills count="4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">
    <xf numFmtId="0" fontId="0" fillId="0" borderId="0" xfId="0"/>
    <xf numFmtId="0" fontId="2" fillId="0" borderId="1" xfId="0" applyFont="1" applyBorder="1"/>
    <xf numFmtId="0" fontId="0" fillId="0" borderId="2" xfId="0" applyBorder="1"/>
    <xf numFmtId="0" fontId="2" fillId="0" borderId="3" xfId="0" applyFont="1" applyBorder="1"/>
    <xf numFmtId="0" fontId="0" fillId="0" borderId="3" xfId="0" applyBorder="1"/>
    <xf numFmtId="0" fontId="0" fillId="0" borderId="4" xfId="0" applyBorder="1"/>
    <xf numFmtId="10" fontId="0" fillId="2" borderId="5" xfId="2" applyNumberFormat="1" applyFont="1" applyFill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2" borderId="5" xfId="0" applyFill="1" applyBorder="1" applyAlignment="1">
      <alignment horizontal="center"/>
    </xf>
    <xf numFmtId="0" fontId="0" fillId="0" borderId="7" xfId="0" applyBorder="1"/>
    <xf numFmtId="44" fontId="0" fillId="2" borderId="8" xfId="1" applyFont="1" applyFill="1" applyBorder="1" applyAlignment="1">
      <alignment horizontal="center" vertical="center"/>
    </xf>
    <xf numFmtId="0" fontId="0" fillId="0" borderId="9" xfId="0" applyBorder="1"/>
    <xf numFmtId="0" fontId="0" fillId="0" borderId="8" xfId="0" applyBorder="1"/>
    <xf numFmtId="0" fontId="2" fillId="0" borderId="10" xfId="0" applyFont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3" fillId="0" borderId="13" xfId="0" applyFont="1" applyBorder="1"/>
    <xf numFmtId="44" fontId="0" fillId="0" borderId="0" xfId="1" applyFont="1" applyBorder="1"/>
    <xf numFmtId="44" fontId="0" fillId="0" borderId="5" xfId="1" applyFont="1" applyBorder="1"/>
    <xf numFmtId="0" fontId="3" fillId="3" borderId="14" xfId="0" applyFont="1" applyFill="1" applyBorder="1"/>
    <xf numFmtId="44" fontId="0" fillId="3" borderId="9" xfId="1" applyFont="1" applyFill="1" applyBorder="1"/>
    <xf numFmtId="44" fontId="0" fillId="3" borderId="8" xfId="1" applyFont="1" applyFill="1" applyBorder="1"/>
    <xf numFmtId="0" fontId="4" fillId="0" borderId="10" xfId="0" applyFont="1" applyBorder="1"/>
    <xf numFmtId="44" fontId="0" fillId="0" borderId="0" xfId="0" applyNumberFormat="1"/>
    <xf numFmtId="44" fontId="0" fillId="0" borderId="5" xfId="0" applyNumberFormat="1" applyBorder="1"/>
    <xf numFmtId="164" fontId="0" fillId="0" borderId="0" xfId="0" applyNumberFormat="1"/>
    <xf numFmtId="164" fontId="0" fillId="0" borderId="5" xfId="0" applyNumberFormat="1" applyBorder="1"/>
    <xf numFmtId="44" fontId="0" fillId="3" borderId="9" xfId="0" applyNumberFormat="1" applyFill="1" applyBorder="1"/>
    <xf numFmtId="44" fontId="0" fillId="3" borderId="8" xfId="0" applyNumberFormat="1" applyFill="1" applyBorder="1"/>
    <xf numFmtId="0" fontId="0" fillId="0" borderId="14" xfId="0" applyBorder="1"/>
    <xf numFmtId="44" fontId="0" fillId="0" borderId="9" xfId="0" applyNumberFormat="1" applyBorder="1"/>
    <xf numFmtId="44" fontId="0" fillId="0" borderId="12" xfId="0" applyNumberFormat="1" applyBorder="1"/>
    <xf numFmtId="2" fontId="0" fillId="0" borderId="5" xfId="0" applyNumberFormat="1" applyBorder="1"/>
    <xf numFmtId="0" fontId="0" fillId="3" borderId="14" xfId="0" applyFill="1" applyBorder="1"/>
    <xf numFmtId="0" fontId="5" fillId="0" borderId="1" xfId="0" applyFont="1" applyBorder="1"/>
    <xf numFmtId="44" fontId="0" fillId="0" borderId="2" xfId="0" applyNumberFormat="1" applyBorder="1"/>
    <xf numFmtId="0" fontId="2" fillId="0" borderId="15" xfId="0" applyFont="1" applyBorder="1" applyAlignment="1">
      <alignment horizontal="center"/>
    </xf>
    <xf numFmtId="165" fontId="0" fillId="0" borderId="3" xfId="2" applyNumberFormat="1" applyFont="1" applyBorder="1"/>
    <xf numFmtId="165" fontId="2" fillId="0" borderId="3" xfId="2" applyNumberFormat="1" applyFont="1" applyBorder="1"/>
    <xf numFmtId="165" fontId="0" fillId="0" borderId="2" xfId="2" applyNumberFormat="1" applyFont="1" applyFill="1" applyBorder="1"/>
    <xf numFmtId="44" fontId="0" fillId="0" borderId="7" xfId="0" applyNumberFormat="1" applyBorder="1"/>
    <xf numFmtId="165" fontId="0" fillId="0" borderId="9" xfId="2" applyNumberFormat="1" applyFont="1" applyBorder="1"/>
    <xf numFmtId="165" fontId="0" fillId="0" borderId="8" xfId="2" applyNumberFormat="1" applyFont="1" applyBorder="1"/>
    <xf numFmtId="165" fontId="0" fillId="0" borderId="6" xfId="2" applyNumberFormat="1" applyFont="1" applyBorder="1"/>
    <xf numFmtId="44" fontId="0" fillId="0" borderId="10" xfId="1" applyFont="1" applyBorder="1"/>
    <xf numFmtId="44" fontId="0" fillId="0" borderId="11" xfId="1" applyFont="1" applyBorder="1"/>
    <xf numFmtId="44" fontId="0" fillId="0" borderId="12" xfId="1" applyFont="1" applyBorder="1"/>
    <xf numFmtId="44" fontId="0" fillId="0" borderId="13" xfId="1" applyFont="1" applyBorder="1"/>
    <xf numFmtId="44" fontId="0" fillId="3" borderId="0" xfId="1" applyFont="1" applyFill="1" applyBorder="1"/>
    <xf numFmtId="165" fontId="0" fillId="0" borderId="6" xfId="2" applyNumberFormat="1" applyFont="1" applyFill="1" applyBorder="1"/>
    <xf numFmtId="165" fontId="0" fillId="0" borderId="7" xfId="2" applyNumberFormat="1" applyFont="1" applyFill="1" applyBorder="1"/>
    <xf numFmtId="44" fontId="0" fillId="0" borderId="9" xfId="1" applyFont="1" applyBorder="1"/>
    <xf numFmtId="44" fontId="0" fillId="0" borderId="8" xfId="1" applyFont="1" applyBorder="1"/>
    <xf numFmtId="0" fontId="0" fillId="0" borderId="0" xfId="2" applyNumberFormat="1" applyFont="1" applyBorder="1"/>
    <xf numFmtId="0" fontId="0" fillId="0" borderId="5" xfId="2" applyNumberFormat="1" applyFont="1" applyBorder="1"/>
    <xf numFmtId="44" fontId="0" fillId="0" borderId="14" xfId="1" applyFont="1" applyBorder="1"/>
    <xf numFmtId="0" fontId="0" fillId="0" borderId="15" xfId="0" applyBorder="1"/>
    <xf numFmtId="44" fontId="0" fillId="0" borderId="0" xfId="1" applyFont="1" applyFill="1" applyBorder="1"/>
    <xf numFmtId="0" fontId="0" fillId="0" borderId="8" xfId="0" applyBorder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FB93B-31C3-CA4B-9FF4-AF6CFA6DFB28}">
  <dimension ref="B2:N47"/>
  <sheetViews>
    <sheetView tabSelected="1" topLeftCell="A15" zoomScale="90" zoomScaleNormal="90" workbookViewId="0">
      <selection activeCell="N35" sqref="N35"/>
    </sheetView>
  </sheetViews>
  <sheetFormatPr baseColWidth="10" defaultRowHeight="16" x14ac:dyDescent="0.2"/>
  <cols>
    <col min="2" max="2" width="21.6640625" bestFit="1" customWidth="1"/>
    <col min="6" max="6" width="16.5" customWidth="1"/>
    <col min="9" max="9" width="15.5" customWidth="1"/>
    <col min="10" max="10" width="12" customWidth="1"/>
  </cols>
  <sheetData>
    <row r="2" spans="2:14" x14ac:dyDescent="0.2">
      <c r="B2" s="1" t="s">
        <v>0</v>
      </c>
      <c r="C2" s="2"/>
      <c r="D2" s="3" t="s">
        <v>1</v>
      </c>
      <c r="E2" s="4"/>
      <c r="F2" s="4"/>
      <c r="G2" s="2"/>
    </row>
    <row r="3" spans="2:14" x14ac:dyDescent="0.2">
      <c r="B3" s="5" t="s">
        <v>2</v>
      </c>
      <c r="C3" s="6">
        <v>9.5299999999999996E-2</v>
      </c>
      <c r="D3" t="s">
        <v>27</v>
      </c>
      <c r="G3" s="16"/>
    </row>
    <row r="4" spans="2:14" x14ac:dyDescent="0.2">
      <c r="B4" s="8" t="s">
        <v>3</v>
      </c>
      <c r="C4" s="9">
        <v>5</v>
      </c>
      <c r="D4" t="s">
        <v>16</v>
      </c>
      <c r="G4" s="7"/>
    </row>
    <row r="5" spans="2:14" x14ac:dyDescent="0.2">
      <c r="B5" s="8" t="s">
        <v>4</v>
      </c>
      <c r="C5" s="6">
        <v>4.2500000000000003E-2</v>
      </c>
      <c r="D5" t="s">
        <v>17</v>
      </c>
      <c r="G5" s="7"/>
    </row>
    <row r="6" spans="2:14" x14ac:dyDescent="0.2">
      <c r="B6" s="8" t="s">
        <v>5</v>
      </c>
      <c r="C6" s="6">
        <v>5.6000000000000001E-2</v>
      </c>
      <c r="D6" t="s">
        <v>18</v>
      </c>
      <c r="G6" s="7"/>
    </row>
    <row r="7" spans="2:14" x14ac:dyDescent="0.2">
      <c r="B7" s="8" t="s">
        <v>6</v>
      </c>
      <c r="C7" s="9">
        <v>1.43</v>
      </c>
      <c r="D7" t="s">
        <v>19</v>
      </c>
      <c r="G7" s="7"/>
    </row>
    <row r="8" spans="2:14" x14ac:dyDescent="0.2">
      <c r="B8" s="8" t="s">
        <v>7</v>
      </c>
      <c r="C8" s="6">
        <f>C5+C7*C6</f>
        <v>0.12257999999999999</v>
      </c>
      <c r="D8" t="s">
        <v>28</v>
      </c>
      <c r="G8" s="7"/>
      <c r="I8" s="36" t="s">
        <v>65</v>
      </c>
      <c r="J8" s="4"/>
      <c r="K8" s="4"/>
      <c r="L8" s="4"/>
      <c r="M8" s="4"/>
      <c r="N8" s="37"/>
    </row>
    <row r="9" spans="2:14" x14ac:dyDescent="0.2">
      <c r="B9" s="8" t="s">
        <v>8</v>
      </c>
      <c r="C9" s="6">
        <v>5.0500000000000003E-2</v>
      </c>
      <c r="D9" t="s">
        <v>20</v>
      </c>
      <c r="G9" s="7"/>
      <c r="I9" s="38" t="s">
        <v>66</v>
      </c>
      <c r="J9" s="39"/>
      <c r="K9" s="40" t="s">
        <v>67</v>
      </c>
      <c r="L9" s="39"/>
      <c r="M9" s="39"/>
      <c r="N9" s="41"/>
    </row>
    <row r="10" spans="2:14" x14ac:dyDescent="0.2">
      <c r="B10" s="8" t="s">
        <v>9</v>
      </c>
      <c r="C10" s="6">
        <v>0.25</v>
      </c>
      <c r="G10" s="7"/>
      <c r="I10" s="42">
        <f>C47</f>
        <v>29.382046366729845</v>
      </c>
      <c r="J10" s="43">
        <v>2.5000000000000001E-2</v>
      </c>
      <c r="K10" s="43">
        <v>0.03</v>
      </c>
      <c r="L10" s="43">
        <v>3.5000000000000003E-2</v>
      </c>
      <c r="M10" s="43">
        <v>0.04</v>
      </c>
      <c r="N10" s="44">
        <v>4.4999999999999998E-2</v>
      </c>
    </row>
    <row r="11" spans="2:14" x14ac:dyDescent="0.2">
      <c r="B11" s="8" t="s">
        <v>10</v>
      </c>
      <c r="C11" s="6">
        <v>0.09</v>
      </c>
      <c r="D11" t="s">
        <v>21</v>
      </c>
      <c r="G11" s="7"/>
      <c r="I11" s="45">
        <v>7.4999999999999997E-2</v>
      </c>
      <c r="J11" s="46">
        <f t="dataTable" ref="J11:N16" dt2D="1" dtr="1" r1="C12" r2="C11"/>
        <v>34.807008388530868</v>
      </c>
      <c r="K11" s="47">
        <v>38.705119637658377</v>
      </c>
      <c r="L11" s="47">
        <v>43.577758699067765</v>
      </c>
      <c r="M11" s="47">
        <v>49.842580349451282</v>
      </c>
      <c r="N11" s="48">
        <v>58.195675883295934</v>
      </c>
    </row>
    <row r="12" spans="2:14" x14ac:dyDescent="0.2">
      <c r="B12" s="8" t="s">
        <v>11</v>
      </c>
      <c r="C12" s="6">
        <v>0.03</v>
      </c>
      <c r="D12" t="s">
        <v>22</v>
      </c>
      <c r="G12" s="7"/>
      <c r="I12" s="45">
        <v>0.08</v>
      </c>
      <c r="J12" s="49">
        <v>31.7728028711524</v>
      </c>
      <c r="K12" s="19">
        <v>34.975675388007289</v>
      </c>
      <c r="L12" s="19">
        <v>38.890297353052162</v>
      </c>
      <c r="M12" s="59">
        <v>43.783574809358257</v>
      </c>
      <c r="N12" s="20">
        <v>50.074931538894646</v>
      </c>
    </row>
    <row r="13" spans="2:14" x14ac:dyDescent="0.2">
      <c r="B13" s="8" t="s">
        <v>12</v>
      </c>
      <c r="C13" s="9">
        <v>12</v>
      </c>
      <c r="D13" t="s">
        <v>23</v>
      </c>
      <c r="G13" s="7"/>
      <c r="I13" s="45">
        <v>8.5000000000000006E-2</v>
      </c>
      <c r="J13" s="49">
        <v>29.244448725061844</v>
      </c>
      <c r="K13" s="19">
        <v>31.924508866005269</v>
      </c>
      <c r="L13" s="19">
        <v>35.140581035137387</v>
      </c>
      <c r="M13" s="19">
        <v>39.071335908521093</v>
      </c>
      <c r="N13" s="20">
        <v>43.984779500250696</v>
      </c>
    </row>
    <row r="14" spans="2:14" x14ac:dyDescent="0.2">
      <c r="B14" s="8" t="s">
        <v>13</v>
      </c>
      <c r="C14" s="6">
        <v>5.0000000000000001E-3</v>
      </c>
      <c r="D14" t="s">
        <v>24</v>
      </c>
      <c r="G14" s="7"/>
      <c r="I14" s="45">
        <v>0.09</v>
      </c>
      <c r="J14" s="49">
        <v>27.105207731492598</v>
      </c>
      <c r="K14" s="50">
        <v>29.382046366729845</v>
      </c>
      <c r="L14" s="19">
        <v>32.072855662919324</v>
      </c>
      <c r="M14" s="19">
        <v>35.301826818346719</v>
      </c>
      <c r="N14" s="20">
        <v>39.248347119424608</v>
      </c>
    </row>
    <row r="15" spans="2:14" x14ac:dyDescent="0.2">
      <c r="B15" s="8" t="s">
        <v>14</v>
      </c>
      <c r="C15" s="6">
        <v>1.4999999999999999E-2</v>
      </c>
      <c r="D15" t="s">
        <v>25</v>
      </c>
      <c r="G15" s="7"/>
      <c r="I15" s="51">
        <v>9.5000000000000001E-2</v>
      </c>
      <c r="J15" s="19">
        <v>25.271695536434535</v>
      </c>
      <c r="K15" s="19">
        <v>27.230890823529236</v>
      </c>
      <c r="L15" s="19">
        <v>29.51661865847306</v>
      </c>
      <c r="M15" s="19">
        <v>32.217933372497583</v>
      </c>
      <c r="N15" s="20">
        <v>35.45951102932699</v>
      </c>
    </row>
    <row r="16" spans="2:14" x14ac:dyDescent="0.2">
      <c r="B16" s="10" t="s">
        <v>15</v>
      </c>
      <c r="C16" s="11">
        <v>-3.2</v>
      </c>
      <c r="D16" t="s">
        <v>26</v>
      </c>
      <c r="E16" s="12"/>
      <c r="F16" s="12"/>
      <c r="G16" s="13"/>
      <c r="I16" s="52">
        <v>0.1</v>
      </c>
      <c r="J16" s="53">
        <v>23.68276369294917</v>
      </c>
      <c r="K16" s="53">
        <v>25.387187290797939</v>
      </c>
      <c r="L16" s="53">
        <v>27.353829903700372</v>
      </c>
      <c r="M16" s="53">
        <v>29.648246285419877</v>
      </c>
      <c r="N16" s="54">
        <v>32.359829281997463</v>
      </c>
    </row>
    <row r="18" spans="2:14" x14ac:dyDescent="0.2">
      <c r="B18" s="14" t="s">
        <v>29</v>
      </c>
      <c r="C18" s="15"/>
      <c r="D18" s="15"/>
      <c r="E18" s="15"/>
      <c r="F18" s="15"/>
      <c r="G18" s="16"/>
      <c r="I18" s="36" t="s">
        <v>68</v>
      </c>
      <c r="J18" s="4"/>
      <c r="K18" s="4"/>
      <c r="L18" s="4"/>
      <c r="M18" s="4"/>
      <c r="N18" s="37"/>
    </row>
    <row r="19" spans="2:14" x14ac:dyDescent="0.2">
      <c r="B19" s="17"/>
      <c r="C19" t="s">
        <v>30</v>
      </c>
      <c r="D19" t="s">
        <v>31</v>
      </c>
      <c r="E19" t="s">
        <v>32</v>
      </c>
      <c r="F19" t="s">
        <v>33</v>
      </c>
      <c r="G19" s="7" t="s">
        <v>34</v>
      </c>
      <c r="I19" s="38" t="s">
        <v>66</v>
      </c>
      <c r="J19" s="39"/>
      <c r="K19" s="40" t="s">
        <v>69</v>
      </c>
      <c r="L19" s="39"/>
      <c r="M19" s="39"/>
      <c r="N19" s="41"/>
    </row>
    <row r="20" spans="2:14" x14ac:dyDescent="0.2">
      <c r="B20" s="18" t="s">
        <v>35</v>
      </c>
      <c r="C20" s="19">
        <v>47.33</v>
      </c>
      <c r="D20" s="19">
        <f>C20+(C20*$C$12)</f>
        <v>48.749899999999997</v>
      </c>
      <c r="E20" s="19">
        <f t="shared" ref="E20:G20" si="0">D20+(D20*$C$12)</f>
        <v>50.212396999999996</v>
      </c>
      <c r="F20" s="19">
        <f t="shared" si="0"/>
        <v>51.718768909999994</v>
      </c>
      <c r="G20" s="20">
        <f t="shared" si="0"/>
        <v>53.270331977299996</v>
      </c>
      <c r="I20" s="42">
        <f>G47</f>
        <v>39.6167144934387</v>
      </c>
      <c r="J20" s="55">
        <v>10</v>
      </c>
      <c r="K20" s="55">
        <v>11</v>
      </c>
      <c r="L20" s="55">
        <v>12</v>
      </c>
      <c r="M20" s="55">
        <v>13</v>
      </c>
      <c r="N20" s="56">
        <v>14</v>
      </c>
    </row>
    <row r="21" spans="2:14" x14ac:dyDescent="0.2">
      <c r="B21" s="18" t="s">
        <v>36</v>
      </c>
      <c r="C21" s="19">
        <f>C20*$C$3</f>
        <v>4.5105489999999993</v>
      </c>
      <c r="D21" s="19">
        <f t="shared" ref="D21:G21" si="1">D20*$C$3</f>
        <v>4.6458654699999995</v>
      </c>
      <c r="E21" s="19">
        <f t="shared" si="1"/>
        <v>4.7852414340999996</v>
      </c>
      <c r="F21" s="19">
        <f t="shared" si="1"/>
        <v>4.928798677122999</v>
      </c>
      <c r="G21" s="20">
        <f t="shared" si="1"/>
        <v>5.076662637436689</v>
      </c>
      <c r="I21" s="45">
        <v>7.4999999999999997E-2</v>
      </c>
      <c r="J21" s="46">
        <f t="dataTable" ref="J21:N26" dt2D="1" dtr="1" r1="C13" r2="C11" ca="1"/>
        <v>34.676820239235845</v>
      </c>
      <c r="K21" s="47">
        <v>37.28648318049774</v>
      </c>
      <c r="L21" s="47">
        <v>39.896146121759635</v>
      </c>
      <c r="M21" s="47">
        <v>42.505809063021516</v>
      </c>
      <c r="N21" s="48">
        <v>45.115472004283426</v>
      </c>
    </row>
    <row r="22" spans="2:14" x14ac:dyDescent="0.2">
      <c r="B22" s="18" t="s">
        <v>37</v>
      </c>
      <c r="C22" s="19">
        <f>C21*$C$10</f>
        <v>1.1276372499999998</v>
      </c>
      <c r="D22" s="19">
        <f t="shared" ref="D22:G22" si="2">D21*$C$10</f>
        <v>1.1614663674999999</v>
      </c>
      <c r="E22" s="19">
        <f t="shared" si="2"/>
        <v>1.1963103585249999</v>
      </c>
      <c r="F22" s="19">
        <f t="shared" si="2"/>
        <v>1.2321996692807498</v>
      </c>
      <c r="G22" s="20">
        <f t="shared" si="2"/>
        <v>1.2691656593591722</v>
      </c>
      <c r="I22" s="45">
        <v>0.08</v>
      </c>
      <c r="J22" s="49">
        <v>34.581687259481839</v>
      </c>
      <c r="K22" s="19">
        <v>37.191350200743734</v>
      </c>
      <c r="L22" s="19">
        <v>39.80101314200563</v>
      </c>
      <c r="M22" s="59">
        <v>42.410676083267511</v>
      </c>
      <c r="N22" s="20">
        <v>45.02033902452942</v>
      </c>
    </row>
    <row r="23" spans="2:14" x14ac:dyDescent="0.2">
      <c r="B23" s="18" t="s">
        <v>38</v>
      </c>
      <c r="C23" s="19">
        <f>C21-$C$22</f>
        <v>3.3829117499999994</v>
      </c>
      <c r="D23" s="19">
        <f t="shared" ref="D23:G23" si="3">D21-$C$22</f>
        <v>3.5182282199999997</v>
      </c>
      <c r="E23" s="19">
        <f t="shared" si="3"/>
        <v>3.6576041840999998</v>
      </c>
      <c r="F23" s="19">
        <f t="shared" si="3"/>
        <v>3.8011614271229992</v>
      </c>
      <c r="G23" s="20">
        <f t="shared" si="3"/>
        <v>3.9490253874366892</v>
      </c>
      <c r="I23" s="45">
        <v>8.5000000000000006E-2</v>
      </c>
      <c r="J23" s="49">
        <v>34.488561521986092</v>
      </c>
      <c r="K23" s="19">
        <v>37.098224463247988</v>
      </c>
      <c r="L23" s="19">
        <v>39.70788740450989</v>
      </c>
      <c r="M23" s="19">
        <v>42.317550345771785</v>
      </c>
      <c r="N23" s="20">
        <v>44.92721328703368</v>
      </c>
    </row>
    <row r="24" spans="2:14" x14ac:dyDescent="0.2">
      <c r="B24" s="18" t="s">
        <v>39</v>
      </c>
      <c r="C24" s="19">
        <f>C20*$C$15</f>
        <v>0.70994999999999997</v>
      </c>
      <c r="D24" s="19">
        <f t="shared" ref="D24:G24" si="4">D20*$C$15</f>
        <v>0.73124849999999997</v>
      </c>
      <c r="E24" s="19">
        <f t="shared" si="4"/>
        <v>0.75318595499999996</v>
      </c>
      <c r="F24" s="19">
        <f t="shared" si="4"/>
        <v>0.77578153364999991</v>
      </c>
      <c r="G24" s="20">
        <f t="shared" si="4"/>
        <v>0.7990549796594999</v>
      </c>
      <c r="I24" s="45">
        <v>0.09</v>
      </c>
      <c r="J24" s="49">
        <v>34.397388610914909</v>
      </c>
      <c r="K24" s="19">
        <v>37.007051552176804</v>
      </c>
      <c r="L24" s="50">
        <v>39.6167144934387</v>
      </c>
      <c r="M24" s="19">
        <v>42.226377434700588</v>
      </c>
      <c r="N24" s="20">
        <v>44.83604037596249</v>
      </c>
    </row>
    <row r="25" spans="2:14" x14ac:dyDescent="0.2">
      <c r="B25" s="18" t="s">
        <v>40</v>
      </c>
      <c r="C25" s="19">
        <f>C20*$C$14</f>
        <v>0.23665</v>
      </c>
      <c r="D25" s="19">
        <f t="shared" ref="D25:G25" si="5">D20*$C$14</f>
        <v>0.24374949999999998</v>
      </c>
      <c r="E25" s="19">
        <f t="shared" si="5"/>
        <v>0.25106198499999999</v>
      </c>
      <c r="F25" s="19">
        <f t="shared" si="5"/>
        <v>0.25859384454999995</v>
      </c>
      <c r="G25" s="20">
        <f t="shared" si="5"/>
        <v>0.2663516598865</v>
      </c>
      <c r="I25" s="51">
        <v>9.5000000000000001E-2</v>
      </c>
      <c r="J25" s="49">
        <v>34.308115876117178</v>
      </c>
      <c r="K25" s="19">
        <v>36.91777881737908</v>
      </c>
      <c r="L25" s="19">
        <v>39.527441758640975</v>
      </c>
      <c r="M25" s="19">
        <v>42.137104699902864</v>
      </c>
      <c r="N25" s="20">
        <v>44.746767641164766</v>
      </c>
    </row>
    <row r="26" spans="2:14" x14ac:dyDescent="0.2">
      <c r="B26" s="18" t="s">
        <v>41</v>
      </c>
      <c r="C26" s="19">
        <f>C20*0.01</f>
        <v>0.4733</v>
      </c>
      <c r="D26" s="19">
        <f t="shared" ref="D26:G26" si="6">D20*0.01</f>
        <v>0.48749899999999996</v>
      </c>
      <c r="E26" s="19">
        <f t="shared" si="6"/>
        <v>0.50212396999999998</v>
      </c>
      <c r="F26" s="19">
        <f t="shared" si="6"/>
        <v>0.5171876890999999</v>
      </c>
      <c r="G26" s="20">
        <f t="shared" si="6"/>
        <v>0.53270331977300001</v>
      </c>
      <c r="I26" s="52">
        <v>0.1</v>
      </c>
      <c r="J26" s="57">
        <v>34.220692367038062</v>
      </c>
      <c r="K26" s="53">
        <v>36.830355308299957</v>
      </c>
      <c r="L26" s="53">
        <v>39.440018249561852</v>
      </c>
      <c r="M26" s="53">
        <v>42.04968119082374</v>
      </c>
      <c r="N26" s="54">
        <v>44.659344132085643</v>
      </c>
    </row>
    <row r="27" spans="2:14" x14ac:dyDescent="0.2">
      <c r="B27" s="21" t="s">
        <v>42</v>
      </c>
      <c r="C27" s="22">
        <f>C23+C24-C25-C26</f>
        <v>3.382911749999999</v>
      </c>
      <c r="D27" s="22">
        <f t="shared" ref="D27:G27" si="7">D23+D24-D25-D26</f>
        <v>3.5182282199999997</v>
      </c>
      <c r="E27" s="22">
        <f t="shared" si="7"/>
        <v>3.6576041840999998</v>
      </c>
      <c r="F27" s="22">
        <f t="shared" si="7"/>
        <v>3.8011614271229988</v>
      </c>
      <c r="G27" s="23">
        <f t="shared" si="7"/>
        <v>3.9490253874366887</v>
      </c>
    </row>
    <row r="29" spans="2:14" x14ac:dyDescent="0.2">
      <c r="B29" s="24" t="s">
        <v>43</v>
      </c>
      <c r="C29" s="15"/>
      <c r="D29" s="15"/>
      <c r="E29" s="15"/>
      <c r="F29" s="15"/>
      <c r="G29" s="16"/>
      <c r="I29" s="1" t="s">
        <v>70</v>
      </c>
      <c r="J29" s="2"/>
    </row>
    <row r="30" spans="2:14" x14ac:dyDescent="0.2">
      <c r="B30" s="17"/>
      <c r="C30" t="s">
        <v>30</v>
      </c>
      <c r="D30" t="s">
        <v>31</v>
      </c>
      <c r="E30" t="s">
        <v>32</v>
      </c>
      <c r="F30" t="s">
        <v>33</v>
      </c>
      <c r="G30" s="7" t="s">
        <v>34</v>
      </c>
      <c r="I30" s="58" t="s">
        <v>71</v>
      </c>
      <c r="J30" s="58" t="s">
        <v>72</v>
      </c>
    </row>
    <row r="31" spans="2:14" x14ac:dyDescent="0.2">
      <c r="B31" s="18" t="s">
        <v>44</v>
      </c>
      <c r="C31" s="25">
        <f>C27</f>
        <v>3.382911749999999</v>
      </c>
      <c r="D31" s="25">
        <f t="shared" ref="D31:G31" si="8">D27</f>
        <v>3.5182282199999997</v>
      </c>
      <c r="E31" s="25">
        <f t="shared" si="8"/>
        <v>3.6576041840999998</v>
      </c>
      <c r="F31" s="25">
        <f t="shared" si="8"/>
        <v>3.8011614271229988</v>
      </c>
      <c r="G31" s="26">
        <f t="shared" si="8"/>
        <v>3.9490253874366887</v>
      </c>
      <c r="I31" s="5" t="s">
        <v>73</v>
      </c>
      <c r="J31" s="26">
        <f>C47</f>
        <v>29.382046366729845</v>
      </c>
    </row>
    <row r="32" spans="2:14" x14ac:dyDescent="0.2">
      <c r="B32" s="17" t="s">
        <v>45</v>
      </c>
      <c r="C32" s="27">
        <f>1/(1+$C$11)^1</f>
        <v>0.9174311926605504</v>
      </c>
      <c r="D32" s="27">
        <f>1/(1+$C$11)^2</f>
        <v>0.84167999326655996</v>
      </c>
      <c r="E32" s="27">
        <f>1/(1+$C$11)^3</f>
        <v>0.77218348006106419</v>
      </c>
      <c r="F32" s="27">
        <f>1/(1+$C$11)^4</f>
        <v>0.7084252110651964</v>
      </c>
      <c r="G32" s="28">
        <f>1/(1+$C$11)^5</f>
        <v>0.64993138629834524</v>
      </c>
      <c r="I32" s="8" t="s">
        <v>74</v>
      </c>
      <c r="J32" s="26">
        <f>G47</f>
        <v>39.6167144934387</v>
      </c>
    </row>
    <row r="33" spans="2:10" x14ac:dyDescent="0.2">
      <c r="B33" s="21" t="s">
        <v>46</v>
      </c>
      <c r="C33" s="29">
        <f>C31*C32</f>
        <v>3.103588761467889</v>
      </c>
      <c r="D33" s="29">
        <f t="shared" ref="D33:G33" si="9">D31*D32</f>
        <v>2.9612223045198212</v>
      </c>
      <c r="E33" s="29">
        <f t="shared" si="9"/>
        <v>2.8243415275642469</v>
      </c>
      <c r="F33" s="29">
        <f t="shared" si="9"/>
        <v>2.6928385863024937</v>
      </c>
      <c r="G33" s="30">
        <f t="shared" si="9"/>
        <v>2.5665955445840871</v>
      </c>
      <c r="I33" s="10" t="s">
        <v>75</v>
      </c>
      <c r="J33" s="60" t="s">
        <v>76</v>
      </c>
    </row>
    <row r="35" spans="2:10" x14ac:dyDescent="0.2">
      <c r="B35" s="24" t="s">
        <v>47</v>
      </c>
      <c r="C35" s="15"/>
      <c r="D35" s="17"/>
      <c r="F35" s="14" t="s">
        <v>51</v>
      </c>
      <c r="G35" s="33"/>
    </row>
    <row r="36" spans="2:10" x14ac:dyDescent="0.2">
      <c r="B36" s="17" t="s">
        <v>48</v>
      </c>
      <c r="C36" s="25">
        <f>G27</f>
        <v>3.9490253874366887</v>
      </c>
      <c r="D36" s="17"/>
      <c r="F36" s="17" t="s">
        <v>52</v>
      </c>
      <c r="G36" s="26">
        <f>G21+G24</f>
        <v>5.8757176170961891</v>
      </c>
    </row>
    <row r="37" spans="2:10" x14ac:dyDescent="0.2">
      <c r="B37" s="18" t="s">
        <v>49</v>
      </c>
      <c r="C37" s="25">
        <f>C36*(1+C12)/(C11-C12)</f>
        <v>67.791602484329829</v>
      </c>
      <c r="D37" s="17"/>
      <c r="F37" s="17" t="s">
        <v>53</v>
      </c>
      <c r="G37" s="34">
        <f>C13</f>
        <v>12</v>
      </c>
    </row>
    <row r="38" spans="2:10" x14ac:dyDescent="0.2">
      <c r="B38" s="31" t="s">
        <v>50</v>
      </c>
      <c r="C38" s="32">
        <f>C37/(1+C11)^5</f>
        <v>44.059890182026834</v>
      </c>
      <c r="D38" s="17"/>
      <c r="F38" s="17" t="s">
        <v>54</v>
      </c>
      <c r="G38" s="26">
        <f>G36*G37</f>
        <v>70.508611405154269</v>
      </c>
    </row>
    <row r="39" spans="2:10" x14ac:dyDescent="0.2">
      <c r="F39" s="17"/>
      <c r="G39" s="26"/>
    </row>
    <row r="40" spans="2:10" x14ac:dyDescent="0.2">
      <c r="B40" s="14" t="s">
        <v>55</v>
      </c>
      <c r="C40" s="15"/>
      <c r="D40" s="17"/>
      <c r="F40" s="17" t="s">
        <v>56</v>
      </c>
      <c r="G40" s="26">
        <f>G38/(1+C15)^5</f>
        <v>65.450346566848324</v>
      </c>
    </row>
    <row r="41" spans="2:10" x14ac:dyDescent="0.2">
      <c r="B41" s="17" t="s">
        <v>57</v>
      </c>
      <c r="C41" s="25">
        <f>SUM(C33:G33)</f>
        <v>14.148586724438539</v>
      </c>
      <c r="D41" s="17"/>
      <c r="F41" s="17" t="s">
        <v>46</v>
      </c>
      <c r="G41" s="26">
        <f>SUM(C33:G33)</f>
        <v>14.148586724438539</v>
      </c>
    </row>
    <row r="42" spans="2:10" x14ac:dyDescent="0.2">
      <c r="B42" s="17" t="s">
        <v>50</v>
      </c>
      <c r="C42" s="25">
        <f>C38</f>
        <v>44.059890182026834</v>
      </c>
      <c r="D42" s="17"/>
      <c r="F42" s="17" t="s">
        <v>58</v>
      </c>
      <c r="G42" s="26">
        <f>SUM(G40:G41)</f>
        <v>79.598933291286869</v>
      </c>
    </row>
    <row r="43" spans="2:10" x14ac:dyDescent="0.2">
      <c r="B43" s="17" t="s">
        <v>59</v>
      </c>
      <c r="C43" s="25">
        <f>C41+C42</f>
        <v>58.208476906465371</v>
      </c>
      <c r="D43" s="17"/>
      <c r="F43" s="17" t="s">
        <v>60</v>
      </c>
      <c r="G43" s="26">
        <f>C44</f>
        <v>-3.2</v>
      </c>
    </row>
    <row r="44" spans="2:10" x14ac:dyDescent="0.2">
      <c r="B44" s="17" t="s">
        <v>61</v>
      </c>
      <c r="C44" s="19">
        <f>C16</f>
        <v>-3.2</v>
      </c>
      <c r="D44" s="17"/>
      <c r="F44" s="17"/>
      <c r="G44" s="7"/>
    </row>
    <row r="45" spans="2:10" x14ac:dyDescent="0.2">
      <c r="B45" s="17" t="s">
        <v>62</v>
      </c>
      <c r="C45" s="25">
        <f>C43-C44</f>
        <v>61.408476906465374</v>
      </c>
      <c r="D45" s="17"/>
      <c r="F45" s="17" t="s">
        <v>62</v>
      </c>
      <c r="G45" s="26">
        <f>G42-G43</f>
        <v>82.798933291286872</v>
      </c>
    </row>
    <row r="46" spans="2:10" x14ac:dyDescent="0.2">
      <c r="B46" s="17" t="s">
        <v>63</v>
      </c>
      <c r="C46">
        <v>2.09</v>
      </c>
      <c r="D46" s="17"/>
      <c r="F46" s="17" t="s">
        <v>63</v>
      </c>
      <c r="G46" s="7">
        <f>C46</f>
        <v>2.09</v>
      </c>
    </row>
    <row r="47" spans="2:10" x14ac:dyDescent="0.2">
      <c r="B47" s="35" t="s">
        <v>64</v>
      </c>
      <c r="C47" s="29">
        <f>C45/C46</f>
        <v>29.382046366729845</v>
      </c>
      <c r="D47" s="17"/>
      <c r="F47" s="35" t="s">
        <v>64</v>
      </c>
      <c r="G47" s="30">
        <f>G45/G46</f>
        <v>39.6167144934387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DCF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Tous, Victor</dc:creator>
  <cp:lastModifiedBy>Victor Tous</cp:lastModifiedBy>
  <dcterms:created xsi:type="dcterms:W3CDTF">2025-09-02T04:45:06Z</dcterms:created>
  <dcterms:modified xsi:type="dcterms:W3CDTF">2025-10-15T02:42:35Z</dcterms:modified>
</cp:coreProperties>
</file>