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ctor/Downloads/"/>
    </mc:Choice>
  </mc:AlternateContent>
  <xr:revisionPtr revIDLastSave="0" documentId="13_ncr:1_{FD0B2BF4-606B-D743-A60F-CFA4BA71F1E9}" xr6:coauthVersionLast="47" xr6:coauthVersionMax="47" xr10:uidLastSave="{00000000-0000-0000-0000-000000000000}"/>
  <bookViews>
    <workbookView xWindow="0" yWindow="740" windowWidth="29400" windowHeight="18380" firstSheet="1" activeTab="9" xr2:uid="{2D4E5FAF-9DCF-C64E-8A41-EF06866BEE50}"/>
  </bookViews>
  <sheets>
    <sheet name="Overview" sheetId="1" r:id="rId1"/>
    <sheet name="Income Statement" sheetId="2" r:id="rId2"/>
    <sheet name="Balance Sheet" sheetId="3" r:id="rId3"/>
    <sheet name="Cash Flow Statement" sheetId="4" r:id="rId4"/>
    <sheet name="Ratio Analysis" sheetId="11" r:id="rId5"/>
    <sheet name="KPI Dashboard" sheetId="5" r:id="rId6"/>
    <sheet name="Operating Drivers" sheetId="6" r:id="rId7"/>
    <sheet name="Forecast Assumptions" sheetId="7" r:id="rId8"/>
    <sheet name="Forecast Model" sheetId="8" r:id="rId9"/>
    <sheet name="Valuation &amp; Scenario Analysis" sheetId="9" r:id="rId10"/>
    <sheet name="Executive Summary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9" i="9" l="1"/>
  <c r="M28" i="9"/>
  <c r="M19" i="9"/>
  <c r="M18" i="9"/>
  <c r="N13" i="9"/>
  <c r="N12" i="9"/>
  <c r="N11" i="9"/>
  <c r="N10" i="9"/>
  <c r="N9" i="9"/>
  <c r="H29" i="9"/>
  <c r="H28" i="9"/>
  <c r="M32" i="9"/>
  <c r="H32" i="9"/>
  <c r="H19" i="9"/>
  <c r="H18" i="9"/>
  <c r="I13" i="9"/>
  <c r="I12" i="9"/>
  <c r="I11" i="9"/>
  <c r="I10" i="9"/>
  <c r="I9" i="9"/>
  <c r="C32" i="9"/>
  <c r="C28" i="9"/>
  <c r="C29" i="9"/>
  <c r="C19" i="9"/>
  <c r="C18" i="9"/>
  <c r="D13" i="9"/>
  <c r="D12" i="9"/>
  <c r="D11" i="9"/>
  <c r="D10" i="9"/>
  <c r="D9" i="9"/>
  <c r="E9" i="8"/>
  <c r="F9" i="8"/>
  <c r="G9" i="8"/>
  <c r="H9" i="8"/>
  <c r="E7" i="8"/>
  <c r="F7" i="8"/>
  <c r="G7" i="8"/>
  <c r="H7" i="8"/>
  <c r="E5" i="8"/>
  <c r="F5" i="8"/>
  <c r="G5" i="8"/>
  <c r="H5" i="8"/>
  <c r="D9" i="8"/>
  <c r="D7" i="8"/>
  <c r="D5" i="8"/>
  <c r="C17" i="8"/>
  <c r="C14" i="8"/>
  <c r="C13" i="8"/>
  <c r="C12" i="8"/>
  <c r="C10" i="8"/>
  <c r="C8" i="8"/>
  <c r="C6" i="8"/>
  <c r="C4" i="8"/>
  <c r="D4" i="8" s="1"/>
  <c r="D10" i="6"/>
  <c r="E10" i="6"/>
  <c r="C10" i="6"/>
  <c r="E11" i="6"/>
  <c r="D11" i="6"/>
  <c r="D8" i="6"/>
  <c r="E8" i="6"/>
  <c r="C8" i="6"/>
  <c r="C9" i="6"/>
  <c r="C6" i="6"/>
  <c r="C7" i="6"/>
  <c r="E7" i="6"/>
  <c r="C9" i="8" s="1"/>
  <c r="D7" i="6"/>
  <c r="C55" i="5"/>
  <c r="C54" i="5"/>
  <c r="C53" i="5"/>
  <c r="E46" i="5"/>
  <c r="D46" i="5"/>
  <c r="C47" i="5"/>
  <c r="C46" i="5"/>
  <c r="D41" i="5"/>
  <c r="D40" i="5"/>
  <c r="D39" i="5"/>
  <c r="C41" i="5"/>
  <c r="C40" i="5"/>
  <c r="C39" i="5"/>
  <c r="D3" i="5"/>
  <c r="C3" i="5"/>
  <c r="B3" i="5"/>
  <c r="D9" i="11"/>
  <c r="E8" i="11"/>
  <c r="G3" i="5" s="1"/>
  <c r="D8" i="11"/>
  <c r="E7" i="11"/>
  <c r="D7" i="11"/>
  <c r="C6" i="11"/>
  <c r="C5" i="11"/>
  <c r="C4" i="11"/>
  <c r="D17" i="4"/>
  <c r="E10" i="11" s="1"/>
  <c r="C17" i="4"/>
  <c r="D10" i="11" s="1"/>
  <c r="D16" i="4"/>
  <c r="E9" i="6" s="1"/>
  <c r="C16" i="4"/>
  <c r="D9" i="6" s="1"/>
  <c r="C15" i="4"/>
  <c r="D14" i="4"/>
  <c r="D15" i="4"/>
  <c r="C14" i="4"/>
  <c r="D17" i="2"/>
  <c r="C17" i="2"/>
  <c r="D16" i="2"/>
  <c r="E48" i="5" s="1"/>
  <c r="C16" i="2"/>
  <c r="D6" i="11" s="1"/>
  <c r="D15" i="2"/>
  <c r="E5" i="11" s="1"/>
  <c r="C15" i="2"/>
  <c r="D5" i="11" s="1"/>
  <c r="D14" i="2"/>
  <c r="E6" i="6" s="1"/>
  <c r="C14" i="2"/>
  <c r="D6" i="6" s="1"/>
  <c r="D13" i="2"/>
  <c r="E5" i="6" s="1"/>
  <c r="C13" i="2"/>
  <c r="D3" i="11" s="1"/>
  <c r="C26" i="3"/>
  <c r="C15" i="8" s="1"/>
  <c r="C30" i="3"/>
  <c r="E12" i="11" s="1"/>
  <c r="C29" i="3"/>
  <c r="C28" i="3"/>
  <c r="C27" i="3"/>
  <c r="E11" i="11" s="1"/>
  <c r="C25" i="3"/>
  <c r="E9" i="11" s="1"/>
  <c r="C11" i="8" l="1"/>
  <c r="C48" i="5"/>
  <c r="E6" i="11"/>
  <c r="F3" i="5"/>
  <c r="D15" i="8"/>
  <c r="D14" i="8"/>
  <c r="E4" i="8"/>
  <c r="E15" i="8" s="1"/>
  <c r="E16" i="8" s="1"/>
  <c r="D8" i="8"/>
  <c r="D6" i="8"/>
  <c r="E3" i="11"/>
  <c r="C5" i="8"/>
  <c r="E3" i="5"/>
  <c r="D5" i="6"/>
  <c r="D4" i="11"/>
  <c r="E4" i="11"/>
  <c r="D47" i="5"/>
  <c r="C7" i="8"/>
  <c r="D48" i="5"/>
  <c r="E47" i="5"/>
  <c r="D16" i="8"/>
  <c r="D13" i="8"/>
  <c r="D10" i="8" l="1"/>
  <c r="D11" i="8"/>
  <c r="D12" i="8" s="1"/>
  <c r="D17" i="8" s="1"/>
  <c r="C9" i="9" s="1"/>
  <c r="F4" i="8"/>
  <c r="E8" i="8"/>
  <c r="E6" i="8"/>
  <c r="E10" i="8" s="1"/>
  <c r="E13" i="8"/>
  <c r="E14" i="8"/>
  <c r="E9" i="9" l="1"/>
  <c r="M9" i="9"/>
  <c r="O9" i="9" s="1"/>
  <c r="H9" i="9"/>
  <c r="J9" i="9" s="1"/>
  <c r="E11" i="8"/>
  <c r="E12" i="8" s="1"/>
  <c r="E17" i="8" s="1"/>
  <c r="C10" i="9" s="1"/>
  <c r="F14" i="8"/>
  <c r="G4" i="8"/>
  <c r="F6" i="8"/>
  <c r="F8" i="8"/>
  <c r="F15" i="8"/>
  <c r="F16" i="8" s="1"/>
  <c r="F13" i="8"/>
  <c r="F10" i="8" l="1"/>
  <c r="E10" i="9"/>
  <c r="H10" i="9"/>
  <c r="J10" i="9" s="1"/>
  <c r="M10" i="9"/>
  <c r="O10" i="9" s="1"/>
  <c r="F11" i="8"/>
  <c r="F12" i="8" s="1"/>
  <c r="F17" i="8" s="1"/>
  <c r="C11" i="9" s="1"/>
  <c r="G6" i="8"/>
  <c r="H4" i="8"/>
  <c r="G13" i="8"/>
  <c r="G8" i="8"/>
  <c r="G14" i="8"/>
  <c r="G15" i="8"/>
  <c r="G16" i="8" s="1"/>
  <c r="G10" i="8" l="1"/>
  <c r="E11" i="9"/>
  <c r="H11" i="9"/>
  <c r="J11" i="9" s="1"/>
  <c r="M11" i="9"/>
  <c r="O11" i="9" s="1"/>
  <c r="H14" i="8"/>
  <c r="H6" i="8"/>
  <c r="H13" i="8"/>
  <c r="H8" i="8"/>
  <c r="H15" i="8"/>
  <c r="H16" i="8" s="1"/>
  <c r="G11" i="8"/>
  <c r="G12" i="8" s="1"/>
  <c r="G17" i="8" s="1"/>
  <c r="C12" i="9" s="1"/>
  <c r="H10" i="8" l="1"/>
  <c r="M12" i="9"/>
  <c r="O12" i="9" s="1"/>
  <c r="H12" i="9"/>
  <c r="J12" i="9" s="1"/>
  <c r="E12" i="9"/>
  <c r="H11" i="8"/>
  <c r="H12" i="8" s="1"/>
  <c r="H17" i="8" s="1"/>
  <c r="C13" i="9" s="1"/>
  <c r="E13" i="9" l="1"/>
  <c r="E14" i="9" s="1"/>
  <c r="C24" i="9" s="1"/>
  <c r="M13" i="9"/>
  <c r="H13" i="9"/>
  <c r="C17" i="9"/>
  <c r="C20" i="9" s="1"/>
  <c r="C21" i="9" s="1"/>
  <c r="C25" i="9" s="1"/>
  <c r="J13" i="9" l="1"/>
  <c r="J14" i="9" s="1"/>
  <c r="H24" i="9" s="1"/>
  <c r="H17" i="9"/>
  <c r="H20" i="9" s="1"/>
  <c r="H21" i="9" s="1"/>
  <c r="H25" i="9" s="1"/>
  <c r="M17" i="9"/>
  <c r="M20" i="9" s="1"/>
  <c r="M21" i="9" s="1"/>
  <c r="M25" i="9" s="1"/>
  <c r="O13" i="9"/>
  <c r="O14" i="9" s="1"/>
  <c r="M24" i="9" s="1"/>
  <c r="M26" i="9" s="1"/>
  <c r="C26" i="9"/>
  <c r="C31" i="9" l="1"/>
  <c r="D38" i="9"/>
  <c r="M31" i="9"/>
  <c r="E38" i="9"/>
  <c r="H26" i="9"/>
  <c r="M33" i="9" l="1"/>
  <c r="E40" i="9" s="1"/>
  <c r="E39" i="9"/>
  <c r="H31" i="9"/>
  <c r="C38" i="9"/>
  <c r="C33" i="9"/>
  <c r="D40" i="9" s="1"/>
  <c r="D39" i="9"/>
  <c r="H33" i="9" l="1"/>
  <c r="C40" i="9" s="1"/>
  <c r="C39" i="9"/>
</calcChain>
</file>

<file path=xl/sharedStrings.xml><?xml version="1.0" encoding="utf-8"?>
<sst xmlns="http://schemas.openxmlformats.org/spreadsheetml/2006/main" count="329" uniqueCount="178">
  <si>
    <t>($000s)</t>
  </si>
  <si>
    <t>FY2024</t>
  </si>
  <si>
    <t>FY2025</t>
  </si>
  <si>
    <t>FY2026</t>
  </si>
  <si>
    <t>Cost of Sales</t>
  </si>
  <si>
    <t>Gross Profit</t>
  </si>
  <si>
    <t>SG&amp;A</t>
  </si>
  <si>
    <t>Operating Income</t>
  </si>
  <si>
    <t>Income Before Taxes</t>
  </si>
  <si>
    <t>Net Income</t>
  </si>
  <si>
    <t>Metrics</t>
  </si>
  <si>
    <t>Revenue Growth %</t>
  </si>
  <si>
    <t xml:space="preserve">Gross Margin % </t>
  </si>
  <si>
    <t>Operating Margin %</t>
  </si>
  <si>
    <t>Revenue</t>
  </si>
  <si>
    <t xml:space="preserve">($000s) </t>
  </si>
  <si>
    <t>Cash &amp; Cash Equivalents</t>
  </si>
  <si>
    <t>Marketable Securities</t>
  </si>
  <si>
    <t>Accounts Receivable</t>
  </si>
  <si>
    <t>Inventory</t>
  </si>
  <si>
    <t>Total Current Assets</t>
  </si>
  <si>
    <t>Total Assets</t>
  </si>
  <si>
    <t>Accounts Payable</t>
  </si>
  <si>
    <t>Total Current Liabilities</t>
  </si>
  <si>
    <t>Total Liabilities</t>
  </si>
  <si>
    <t>Inventory Growth %</t>
  </si>
  <si>
    <t xml:space="preserve">Cash Growth % </t>
  </si>
  <si>
    <t>Equity Growth %</t>
  </si>
  <si>
    <t>Property &amp; Equipment, Net</t>
  </si>
  <si>
    <t>Long-Term Lease Liabilities</t>
  </si>
  <si>
    <t>Asset Growth %</t>
  </si>
  <si>
    <t>Current Ratio</t>
  </si>
  <si>
    <t>Working Capital</t>
  </si>
  <si>
    <t xml:space="preserve">Revenue Growth % </t>
  </si>
  <si>
    <t>Net Margin %</t>
  </si>
  <si>
    <t>Net Income Growth</t>
  </si>
  <si>
    <t>Operating Cash Flow (OCF)</t>
  </si>
  <si>
    <t>Capital Expenditures (CapEx)</t>
  </si>
  <si>
    <t>Investing Cash Flow</t>
  </si>
  <si>
    <t>Financing Cash Flow</t>
  </si>
  <si>
    <t>Net Change in Cash</t>
  </si>
  <si>
    <t>Ending Cash Balance</t>
  </si>
  <si>
    <t>OCF Growth %</t>
  </si>
  <si>
    <t>OCF Margin %</t>
  </si>
  <si>
    <t>Cash Conversion Ratio</t>
  </si>
  <si>
    <t>Ratio</t>
  </si>
  <si>
    <t>Gross Margin %</t>
  </si>
  <si>
    <t>ROA</t>
  </si>
  <si>
    <t>ROE</t>
  </si>
  <si>
    <t xml:space="preserve">Revenue </t>
  </si>
  <si>
    <t>Cash Balance</t>
  </si>
  <si>
    <t>Operating Margin</t>
  </si>
  <si>
    <t>Revenue &amp; Net Income Chart</t>
  </si>
  <si>
    <t>Margin Chart</t>
  </si>
  <si>
    <t>Year</t>
  </si>
  <si>
    <t xml:space="preserve">Year </t>
  </si>
  <si>
    <t>Gross Margin</t>
  </si>
  <si>
    <t>Net Margin</t>
  </si>
  <si>
    <t>Revenue Growth</t>
  </si>
  <si>
    <t>Key Takeaways</t>
  </si>
  <si>
    <t>Cash Flow Trend</t>
  </si>
  <si>
    <t>OCF</t>
  </si>
  <si>
    <t>• Revenue grew from $5.15B to $6.17B (+19.6%) between FY2024 and FY2026.</t>
  </si>
  <si>
    <t>• Gross margin expanded from 33.3% to 36.0%, reflecting improved merchandise profitability.</t>
  </si>
  <si>
    <t>• Operating margin increased from 7.2% to 9.8%, demonstrating operating leverage.</t>
  </si>
  <si>
    <t>• Operating cash flow reached $575M in FY2026 while maintaining a cash conversion ratio above 1.2x.</t>
  </si>
  <si>
    <t>• ROE remained above 16%, indicating strong shareholder returns.</t>
  </si>
  <si>
    <t>Assumptions</t>
  </si>
  <si>
    <t>SG&amp;A % Revenue</t>
  </si>
  <si>
    <t>Tax Rate</t>
  </si>
  <si>
    <t>CapEx % Revenue</t>
  </si>
  <si>
    <t>Depreciation % Revenue</t>
  </si>
  <si>
    <t>NWC % Revenue</t>
  </si>
  <si>
    <t>Depreciation &amp; Amortization</t>
  </si>
  <si>
    <t>-</t>
  </si>
  <si>
    <t>Assumption</t>
  </si>
  <si>
    <t>FY2027</t>
  </si>
  <si>
    <t>FY2028</t>
  </si>
  <si>
    <t>FY2029</t>
  </si>
  <si>
    <t>FY2030</t>
  </si>
  <si>
    <t>FY2031</t>
  </si>
  <si>
    <t>Growth gradually normalizes from 11.1% FY2026 level</t>
  </si>
  <si>
    <t>Margin expansion stabilizes around 36%</t>
  </si>
  <si>
    <t>Slight operating leverage achieved over forecast period</t>
  </si>
  <si>
    <t>Normalized effective tax rate</t>
  </si>
  <si>
    <t>CapEx</t>
  </si>
  <si>
    <t>Consistent reinvestment in stores and digital capabilities</t>
  </si>
  <si>
    <t>NWC</t>
  </si>
  <si>
    <t>Maintained near historical FY2026 level</t>
  </si>
  <si>
    <t>Terminal Growth Rate</t>
  </si>
  <si>
    <t>Line Item</t>
  </si>
  <si>
    <t>FY2026A</t>
  </si>
  <si>
    <t>FY2027E</t>
  </si>
  <si>
    <t>FY2028E</t>
  </si>
  <si>
    <t>FY2029E</t>
  </si>
  <si>
    <t>FY2030E</t>
  </si>
  <si>
    <t>FY2031E</t>
  </si>
  <si>
    <t>Operating Income (EBIT)</t>
  </si>
  <si>
    <t>Tax Expense</t>
  </si>
  <si>
    <t>Depreciation</t>
  </si>
  <si>
    <t>Change in NWC</t>
  </si>
  <si>
    <t>Free Cash Flow</t>
  </si>
  <si>
    <t>Net Working Capital (NWC)</t>
  </si>
  <si>
    <t>Bear</t>
  </si>
  <si>
    <t>Base</t>
  </si>
  <si>
    <t>Bull</t>
  </si>
  <si>
    <t>Terminal Growth</t>
  </si>
  <si>
    <t>Enterprise Value</t>
  </si>
  <si>
    <t>Equity Value</t>
  </si>
  <si>
    <t>WACC</t>
  </si>
  <si>
    <t>FCF</t>
  </si>
  <si>
    <t xml:space="preserve">Discount Factor </t>
  </si>
  <si>
    <t>PV of FCF</t>
  </si>
  <si>
    <t>Terminal Value</t>
  </si>
  <si>
    <t>FY2031 FCF</t>
  </si>
  <si>
    <t>PV of Terminal Value</t>
  </si>
  <si>
    <t>PV of Forecast FCFs</t>
  </si>
  <si>
    <t>Current Lease Liabilities</t>
  </si>
  <si>
    <t>Shares Outstanding</t>
  </si>
  <si>
    <t>Implied Share Price</t>
  </si>
  <si>
    <t>DCF Assumption</t>
  </si>
  <si>
    <t>Valuation Summary</t>
  </si>
  <si>
    <t>Less: Debt</t>
  </si>
  <si>
    <t>Add: Cash</t>
  </si>
  <si>
    <t>Terminal Value Summary</t>
  </si>
  <si>
    <t>Bear Case DCF</t>
  </si>
  <si>
    <t>Base Case DCF</t>
  </si>
  <si>
    <t>Bull Case DCF</t>
  </si>
  <si>
    <t>Summary Table</t>
  </si>
  <si>
    <t>Executive Summary</t>
  </si>
  <si>
    <t>Company Overview / Investment Thesis</t>
  </si>
  <si>
    <t>Workbook Overview</t>
  </si>
  <si>
    <t>#</t>
  </si>
  <si>
    <t>Sheet</t>
  </si>
  <si>
    <t>Purpose</t>
  </si>
  <si>
    <t>FY2024–FY2026 revenue, margins, and profitability</t>
  </si>
  <si>
    <t>FY2025–FY2026 balance sheet positions &amp; key metrics</t>
  </si>
  <si>
    <t>FY2024–FY2026 operating, investing, and financing cash flows</t>
  </si>
  <si>
    <t>Ratio Analysis</t>
  </si>
  <si>
    <t>Profitability, liquidity, and return ratios</t>
  </si>
  <si>
    <t>KPI Dashboard</t>
  </si>
  <si>
    <t>Historical driver analysis (margins, capex, NWC)</t>
  </si>
  <si>
    <t>Forecast Assumptions</t>
  </si>
  <si>
    <t>FY2027E–FY2031E operating assumptions</t>
  </si>
  <si>
    <t>Forecast Model</t>
  </si>
  <si>
    <t>Valuation &amp; Scenario Analysis</t>
  </si>
  <si>
    <t>Operating Drivers</t>
  </si>
  <si>
    <t>Company Overview &amp; Investment Thesis
Urban Outfitters, Inc. (NASDAQ: URBN) is a lifestyle retail company operating through its Urban Outfitters, Anthropologie, Free People, Nuuly, and FP Movement brands. The company generates revenue through retail stores, e-commerce platforms, subscription services, and wholesale channels.
Historical analysis indicates strong operating momentum between FY2024 and FY2026, with revenue increasing from approximately $5.2 billion to $6.2 billion, gross margin expanding from 33.3% to 36.0%, and operating income growing from $370 million to $606 million. The company has also demonstrated consistent free cash flow generation and balance sheet strength, supported by significant cash reserves and manageable lease-related obligations.
Based on historical performance, management execution, and projected operating trends, the forecast assumes continued revenue growth, stable margin expansion, and disciplined capital investment through FY2031. Under the base-case discounted cash flow analysis, Urban Outfitters is estimated to have an implied equity value of approximately $6.3 billion, corresponding to an intrinsic value of $69.85 per share.
Scenario analysis suggests a valuation range of $55.48 to $93.74 per share under bear and bull case assumptions, respectively. The valuation is primarily driven by revenue growth, operating margin performance, free cash flow generation, and long-term terminal growth expectations.
Key risks include changes in consumer spending behavior, inventory management challenges, increased promotional activity within the apparel sector, and broader macroeconomic pressures affecting discretionary retail demand.</t>
  </si>
  <si>
    <t>Income Statement</t>
  </si>
  <si>
    <t>Source: Urban Outfitters FY2026 Form 10-K. Statements have been condensed to key line items used in valuation analysis.</t>
  </si>
  <si>
    <t>Balance Sheet</t>
  </si>
  <si>
    <t>Cash Flow Statement</t>
  </si>
  <si>
    <t>Total PV of Forecast FCFs</t>
  </si>
  <si>
    <t>Note: All figures in $000s except per-share amounts.</t>
  </si>
  <si>
    <t>Note: All figures in $000s.</t>
  </si>
  <si>
    <t>Urban Outfitters, Inc. (NASDAQ: URBN) — Integrated Financial Model &amp; DCF Valuation</t>
  </si>
  <si>
    <t>Investment thesis, valuation conclusions, and key risks</t>
  </si>
  <si>
    <t>DCF valuation and scenario sensitivity analysis</t>
  </si>
  <si>
    <t>5-year operating forecast and free cash flow projection</t>
  </si>
  <si>
    <t>Key operating and financial performance indicators</t>
  </si>
  <si>
    <t>Total Shareholder's Equity</t>
  </si>
  <si>
    <t>CapEx as % Revenue</t>
  </si>
  <si>
    <t>Cash Conversion Ratio (OCF/NI)</t>
  </si>
  <si>
    <t>Key Observations</t>
  </si>
  <si>
    <t>Source: Derived from Urban Outfitters FY2024–FY2026 financial statements.</t>
  </si>
  <si>
    <t>• Revenue growth accelerated from 7.7% in FY2025 to 11.1% in FY2026, reflecting continued operating momentum.</t>
  </si>
  <si>
    <t>• Gross margin expanded from 33.3% in FY2024 to 36.0% in FY2026, indicating improved profitability.</t>
  </si>
  <si>
    <t>• ROE remained above 16%, demonstrating strong returns relative to shareholder equity.</t>
  </si>
  <si>
    <t>• The current ratio improved from 1.39x to 1.51x, reflecting a stronger liquidity position.</t>
  </si>
  <si>
    <t>• Cash conversion remained consistently above 1.2x, highlighting the company’s ability to convert earnings into operating cash flow.</t>
  </si>
  <si>
    <t>• Revenue growth accelerated from 7.7% to 11.1% in FY2026.</t>
  </si>
  <si>
    <t>• Gross margin expanded from 33.3% to 36.0%, indicating improved merchandising performance.</t>
  </si>
  <si>
    <t>• SG&amp;A remained relatively stable around 26% of revenue despite continued growth.</t>
  </si>
  <si>
    <t>• Capital expenditures increased to 4.2% of revenue in FY2026, reflecting ongoing investment in operations and growth initiatives.</t>
  </si>
  <si>
    <t>• Net working capital requirements increased from 7.5% to 9.2% of revenue, suggesting higher inventory and working capital investment.</t>
  </si>
  <si>
    <t>Supporting Rationale</t>
  </si>
  <si>
    <t>Forecast Driver</t>
  </si>
  <si>
    <t>Source: Based on FY2024–FY2026 historical performance and management assumptions.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</si>
</sst>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"/>
    <numFmt numFmtId="167" formatCode="&quot;$&quot;0.00,,&quot;B&quot;"/>
    <numFmt numFmtId="168" formatCode="&quot;$&quot;0.0,&quot;M&quot;"/>
    <numFmt numFmtId="169" formatCode="0.0000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8"/>
      <color rgb="FFFFFFFF"/>
      <name val="Aptos Narrow"/>
      <scheme val="minor"/>
    </font>
    <font>
      <b/>
      <sz val="12"/>
      <color rgb="FFFFFFFF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FFFFFF"/>
      <name val="Aptos Narrow"/>
      <scheme val="minor"/>
    </font>
    <font>
      <b/>
      <sz val="16"/>
      <color rgb="FF1F3864"/>
      <name val="Aptos Narrow"/>
      <scheme val="minor"/>
    </font>
    <font>
      <b/>
      <sz val="13"/>
      <color rgb="FFFFFFFF"/>
      <name val="Aptos Narrow"/>
      <scheme val="minor"/>
    </font>
    <font>
      <sz val="11"/>
      <color rgb="FF0000FF"/>
      <name val="Aptos Narrow"/>
      <scheme val="minor"/>
    </font>
    <font>
      <b/>
      <i/>
      <sz val="11"/>
      <color rgb="FF595959"/>
      <name val="Aptos Narrow"/>
      <scheme val="minor"/>
    </font>
    <font>
      <i/>
      <sz val="11"/>
      <color rgb="FF595959"/>
      <name val="Aptos Narrow"/>
      <scheme val="minor"/>
    </font>
    <font>
      <b/>
      <sz val="16"/>
      <color rgb="FFFFFFFF"/>
      <name val="Aptos Narrow"/>
      <scheme val="minor"/>
    </font>
    <font>
      <i/>
      <sz val="10"/>
      <color rgb="FF595959"/>
      <name val="Aptos Narrow"/>
      <scheme val="minor"/>
    </font>
    <font>
      <sz val="12"/>
      <color theme="1"/>
      <name val="Aptos Narrow"/>
      <scheme val="minor"/>
    </font>
    <font>
      <sz val="11"/>
      <color rgb="FF000000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39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7B2D26"/>
        <bgColor indexed="64"/>
      </patternFill>
    </fill>
    <fill>
      <patternFill patternType="solid">
        <fgColor rgb="FF2D6A4F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1F3864"/>
      </left>
      <right style="thin">
        <color rgb="FFBFBFBF"/>
      </right>
      <top style="thin">
        <color rgb="FF1F38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1F3864"/>
      </top>
      <bottom style="thin">
        <color rgb="FFBFBFBF"/>
      </bottom>
      <diagonal/>
    </border>
    <border>
      <left style="thin">
        <color rgb="FFBFBFBF"/>
      </left>
      <right style="thin">
        <color rgb="FF1F3864"/>
      </right>
      <top style="thin">
        <color rgb="FF1F3864"/>
      </top>
      <bottom style="thin">
        <color rgb="FFBFBFBF"/>
      </bottom>
      <diagonal/>
    </border>
    <border>
      <left style="thin">
        <color rgb="FF1F38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1F3864"/>
      </right>
      <top style="thin">
        <color rgb="FFBFBFBF"/>
      </top>
      <bottom style="thin">
        <color rgb="FFBFBFBF"/>
      </bottom>
      <diagonal/>
    </border>
    <border>
      <left style="thin">
        <color rgb="FF1F3864"/>
      </left>
      <right style="thin">
        <color rgb="FFBFBFBF"/>
      </right>
      <top style="thin">
        <color rgb="FFBFBFBF"/>
      </top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1F3864"/>
      </bottom>
      <diagonal/>
    </border>
    <border>
      <left style="thin">
        <color rgb="FFBFBFBF"/>
      </left>
      <right style="thin">
        <color rgb="FF1F3864"/>
      </right>
      <top style="thin">
        <color rgb="FFBFBFBF"/>
      </top>
      <bottom style="thin">
        <color rgb="FF1F3864"/>
      </bottom>
      <diagonal/>
    </border>
    <border>
      <left/>
      <right/>
      <top style="double">
        <color rgb="FF1F3864"/>
      </top>
      <bottom/>
      <diagonal/>
    </border>
    <border>
      <left style="medium">
        <color rgb="FF1F3864"/>
      </left>
      <right/>
      <top/>
      <bottom/>
      <diagonal/>
    </border>
    <border>
      <left style="medium">
        <color rgb="FF1F3864"/>
      </left>
      <right/>
      <top style="thin">
        <color rgb="FF1F3864"/>
      </top>
      <bottom/>
      <diagonal/>
    </border>
    <border>
      <left/>
      <right style="medium">
        <color rgb="FF1F3864"/>
      </right>
      <top/>
      <bottom/>
      <diagonal/>
    </border>
    <border>
      <left/>
      <right style="medium">
        <color rgb="FF1F3864"/>
      </right>
      <top style="thin">
        <color rgb="FF1F3864"/>
      </top>
      <bottom/>
      <diagonal/>
    </border>
    <border>
      <left style="medium">
        <color rgb="FF1F3864"/>
      </left>
      <right style="medium">
        <color rgb="FF1F3864"/>
      </right>
      <top/>
      <bottom style="medium">
        <color rgb="FF1F3864"/>
      </bottom>
      <diagonal/>
    </border>
    <border>
      <left style="medium">
        <color rgb="FF1F3864"/>
      </left>
      <right/>
      <top style="double">
        <color rgb="FF1F3864"/>
      </top>
      <bottom style="medium">
        <color rgb="FF1F3864"/>
      </bottom>
      <diagonal/>
    </border>
    <border>
      <left/>
      <right/>
      <top style="double">
        <color rgb="FF1F3864"/>
      </top>
      <bottom style="medium">
        <color rgb="FF1F3864"/>
      </bottom>
      <diagonal/>
    </border>
    <border>
      <left/>
      <right style="medium">
        <color rgb="FF1F3864"/>
      </right>
      <top style="double">
        <color rgb="FF1F3864"/>
      </top>
      <bottom style="medium">
        <color rgb="FF1F3864"/>
      </bottom>
      <diagonal/>
    </border>
    <border>
      <left style="medium">
        <color rgb="FF1F3864"/>
      </left>
      <right/>
      <top style="medium">
        <color rgb="FF1F3864"/>
      </top>
      <bottom/>
      <diagonal/>
    </border>
    <border>
      <left/>
      <right/>
      <top style="medium">
        <color rgb="FF1F3864"/>
      </top>
      <bottom/>
      <diagonal/>
    </border>
    <border>
      <left/>
      <right style="medium">
        <color rgb="FF1F3864"/>
      </right>
      <top style="medium">
        <color rgb="FF1F3864"/>
      </top>
      <bottom/>
      <diagonal/>
    </border>
    <border>
      <left style="medium">
        <color rgb="FF1F3864"/>
      </left>
      <right/>
      <top/>
      <bottom style="medium">
        <color rgb="FF1F3864"/>
      </bottom>
      <diagonal/>
    </border>
    <border>
      <left/>
      <right/>
      <top/>
      <bottom style="medium">
        <color rgb="FF1F3864"/>
      </bottom>
      <diagonal/>
    </border>
    <border>
      <left/>
      <right style="medium">
        <color rgb="FF1F3864"/>
      </right>
      <top/>
      <bottom style="medium">
        <color rgb="FF1F3864"/>
      </bottom>
      <diagonal/>
    </border>
    <border>
      <left style="medium">
        <color rgb="FF1F3864"/>
      </left>
      <right/>
      <top style="double">
        <color rgb="FF1F3864"/>
      </top>
      <bottom/>
      <diagonal/>
    </border>
    <border>
      <left/>
      <right style="medium">
        <color rgb="FF1F3864"/>
      </right>
      <top style="double">
        <color rgb="FF1F3864"/>
      </top>
      <bottom/>
      <diagonal/>
    </border>
    <border>
      <left style="medium">
        <color rgb="FF1F3864"/>
      </left>
      <right/>
      <top style="medium">
        <color rgb="FF1F3864"/>
      </top>
      <bottom style="thin">
        <color rgb="FFBFBFBF"/>
      </bottom>
      <diagonal/>
    </border>
    <border>
      <left/>
      <right/>
      <top style="medium">
        <color rgb="FF1F3864"/>
      </top>
      <bottom style="thin">
        <color rgb="FFBFBFBF"/>
      </bottom>
      <diagonal/>
    </border>
    <border>
      <left/>
      <right style="medium">
        <color rgb="FF1F3864"/>
      </right>
      <top style="medium">
        <color rgb="FF1F3864"/>
      </top>
      <bottom style="thin">
        <color rgb="FFBFBFBF"/>
      </bottom>
      <diagonal/>
    </border>
    <border>
      <left style="medium">
        <color rgb="FF1F3864"/>
      </left>
      <right/>
      <top style="thin">
        <color rgb="FFBFBFBF"/>
      </top>
      <bottom style="thin">
        <color rgb="FFBFBFBF"/>
      </bottom>
      <diagonal/>
    </border>
    <border>
      <left/>
      <right style="medium">
        <color rgb="FF1F3864"/>
      </right>
      <top style="thin">
        <color rgb="FFBFBFBF"/>
      </top>
      <bottom style="thin">
        <color rgb="FFBFBFBF"/>
      </bottom>
      <diagonal/>
    </border>
    <border>
      <left style="medium">
        <color rgb="FF1F3864"/>
      </left>
      <right/>
      <top style="thin">
        <color rgb="FFBFBFBF"/>
      </top>
      <bottom style="medium">
        <color rgb="FF1F3864"/>
      </bottom>
      <diagonal/>
    </border>
    <border>
      <left/>
      <right/>
      <top style="thin">
        <color rgb="FFBFBFBF"/>
      </top>
      <bottom style="medium">
        <color rgb="FF1F3864"/>
      </bottom>
      <diagonal/>
    </border>
    <border>
      <left/>
      <right style="medium">
        <color rgb="FF1F3864"/>
      </right>
      <top style="thin">
        <color rgb="FFBFBFBF"/>
      </top>
      <bottom style="medium">
        <color rgb="FF1F3864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/>
      <diagonal/>
    </border>
    <border>
      <left style="medium">
        <color rgb="FF1F3864"/>
      </left>
      <right/>
      <top style="thin">
        <color rgb="FF1F3864"/>
      </top>
      <bottom style="medium">
        <color rgb="FF1F3864"/>
      </bottom>
      <diagonal/>
    </border>
    <border>
      <left/>
      <right/>
      <top style="thin">
        <color rgb="FF1F3864"/>
      </top>
      <bottom style="medium">
        <color rgb="FF1F3864"/>
      </bottom>
      <diagonal/>
    </border>
    <border>
      <left/>
      <right style="medium">
        <color rgb="FF1F3864"/>
      </right>
      <top style="thin">
        <color rgb="FF1F3864"/>
      </top>
      <bottom style="medium">
        <color rgb="FF1F38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5" fillId="3" borderId="0" xfId="0" applyFont="1" applyFill="1" applyAlignment="1">
      <alignment horizontal="center"/>
    </xf>
    <xf numFmtId="0" fontId="6" fillId="4" borderId="0" xfId="0" applyFont="1" applyFill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6" fillId="0" borderId="8" xfId="0" applyFont="1" applyBorder="1"/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/>
    <xf numFmtId="0" fontId="6" fillId="4" borderId="8" xfId="0" applyFont="1" applyFill="1" applyBorder="1"/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/>
    <xf numFmtId="0" fontId="6" fillId="4" borderId="11" xfId="0" applyFont="1" applyFill="1" applyBorder="1"/>
    <xf numFmtId="0" fontId="6" fillId="0" borderId="0" xfId="0" applyFont="1"/>
    <xf numFmtId="0" fontId="5" fillId="2" borderId="0" xfId="0" applyFont="1" applyFill="1" applyAlignment="1">
      <alignment horizontal="center"/>
    </xf>
    <xf numFmtId="164" fontId="6" fillId="0" borderId="0" xfId="1" applyNumberFormat="1" applyFont="1" applyFill="1" applyBorder="1" applyAlignment="1">
      <alignment horizontal="right"/>
    </xf>
    <xf numFmtId="164" fontId="7" fillId="5" borderId="1" xfId="1" applyNumberFormat="1" applyFont="1" applyFill="1" applyBorder="1" applyAlignment="1">
      <alignment horizontal="right"/>
    </xf>
    <xf numFmtId="164" fontId="8" fillId="2" borderId="12" xfId="1" applyNumberFormat="1" applyFont="1" applyFill="1" applyBorder="1" applyAlignment="1">
      <alignment horizontal="right"/>
    </xf>
    <xf numFmtId="164" fontId="6" fillId="4" borderId="0" xfId="1" applyNumberFormat="1" applyFont="1" applyFill="1" applyBorder="1" applyAlignment="1">
      <alignment horizontal="right"/>
    </xf>
    <xf numFmtId="165" fontId="6" fillId="0" borderId="0" xfId="2" applyNumberFormat="1" applyFont="1" applyFill="1" applyBorder="1" applyAlignment="1">
      <alignment horizontal="right"/>
    </xf>
    <xf numFmtId="165" fontId="6" fillId="4" borderId="0" xfId="2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4" borderId="13" xfId="0" applyFont="1" applyFill="1" applyBorder="1" applyAlignment="1">
      <alignment horizontal="left"/>
    </xf>
    <xf numFmtId="0" fontId="7" fillId="5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164" fontId="6" fillId="0" borderId="15" xfId="1" applyNumberFormat="1" applyFont="1" applyFill="1" applyBorder="1" applyAlignment="1">
      <alignment horizontal="right"/>
    </xf>
    <xf numFmtId="164" fontId="6" fillId="4" borderId="15" xfId="1" applyNumberFormat="1" applyFont="1" applyFill="1" applyBorder="1" applyAlignment="1">
      <alignment horizontal="right"/>
    </xf>
    <xf numFmtId="164" fontId="7" fillId="5" borderId="16" xfId="1" applyNumberFormat="1" applyFont="1" applyFill="1" applyBorder="1" applyAlignment="1">
      <alignment horizontal="right"/>
    </xf>
    <xf numFmtId="0" fontId="8" fillId="2" borderId="18" xfId="0" applyFont="1" applyFill="1" applyBorder="1" applyAlignment="1">
      <alignment horizontal="left"/>
    </xf>
    <xf numFmtId="164" fontId="8" fillId="2" borderId="19" xfId="1" applyNumberFormat="1" applyFont="1" applyFill="1" applyBorder="1" applyAlignment="1">
      <alignment horizontal="right"/>
    </xf>
    <xf numFmtId="164" fontId="8" fillId="2" borderId="20" xfId="1" applyNumberFormat="1" applyFont="1" applyFill="1" applyBorder="1" applyAlignment="1">
      <alignment horizontal="right"/>
    </xf>
    <xf numFmtId="0" fontId="5" fillId="2" borderId="21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7" fillId="0" borderId="13" xfId="0" applyFont="1" applyBorder="1"/>
    <xf numFmtId="0" fontId="7" fillId="4" borderId="13" xfId="0" applyFont="1" applyFill="1" applyBorder="1"/>
    <xf numFmtId="165" fontId="6" fillId="0" borderId="15" xfId="2" applyNumberFormat="1" applyFont="1" applyFill="1" applyBorder="1" applyAlignment="1">
      <alignment horizontal="right"/>
    </xf>
    <xf numFmtId="165" fontId="6" fillId="4" borderId="15" xfId="2" applyNumberFormat="1" applyFont="1" applyFill="1" applyBorder="1" applyAlignment="1">
      <alignment horizontal="right"/>
    </xf>
    <xf numFmtId="0" fontId="7" fillId="0" borderId="24" xfId="0" applyFont="1" applyBorder="1"/>
    <xf numFmtId="165" fontId="6" fillId="0" borderId="25" xfId="2" applyNumberFormat="1" applyFont="1" applyFill="1" applyBorder="1" applyAlignment="1">
      <alignment horizontal="right"/>
    </xf>
    <xf numFmtId="165" fontId="6" fillId="0" borderId="26" xfId="2" applyNumberFormat="1" applyFont="1" applyFill="1" applyBorder="1" applyAlignment="1">
      <alignment horizontal="right"/>
    </xf>
    <xf numFmtId="0" fontId="5" fillId="3" borderId="21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164" fontId="6" fillId="0" borderId="0" xfId="1" applyNumberFormat="1" applyFont="1" applyFill="1" applyBorder="1"/>
    <xf numFmtId="3" fontId="6" fillId="0" borderId="0" xfId="0" applyNumberFormat="1" applyFont="1"/>
    <xf numFmtId="10" fontId="6" fillId="0" borderId="0" xfId="2" applyNumberFormat="1" applyFont="1" applyFill="1" applyBorder="1"/>
    <xf numFmtId="3" fontId="6" fillId="4" borderId="0" xfId="0" applyNumberFormat="1" applyFont="1" applyFill="1" applyAlignment="1">
      <alignment horizontal="right"/>
    </xf>
    <xf numFmtId="0" fontId="7" fillId="5" borderId="14" xfId="0" applyFont="1" applyFill="1" applyBorder="1"/>
    <xf numFmtId="0" fontId="8" fillId="2" borderId="27" xfId="0" applyFont="1" applyFill="1" applyBorder="1"/>
    <xf numFmtId="164" fontId="8" fillId="2" borderId="28" xfId="1" applyNumberFormat="1" applyFont="1" applyFill="1" applyBorder="1" applyAlignment="1">
      <alignment horizontal="right"/>
    </xf>
    <xf numFmtId="0" fontId="7" fillId="4" borderId="24" xfId="0" applyFont="1" applyFill="1" applyBorder="1"/>
    <xf numFmtId="3" fontId="6" fillId="4" borderId="25" xfId="0" applyNumberFormat="1" applyFont="1" applyFill="1" applyBorder="1" applyAlignment="1">
      <alignment horizontal="right"/>
    </xf>
    <xf numFmtId="0" fontId="6" fillId="4" borderId="26" xfId="0" applyFont="1" applyFill="1" applyBorder="1" applyAlignment="1">
      <alignment horizontal="right"/>
    </xf>
    <xf numFmtId="10" fontId="6" fillId="0" borderId="0" xfId="2" applyNumberFormat="1" applyFont="1" applyFill="1" applyBorder="1" applyAlignment="1">
      <alignment horizontal="right"/>
    </xf>
    <xf numFmtId="10" fontId="6" fillId="4" borderId="0" xfId="2" applyNumberFormat="1" applyFont="1" applyFill="1" applyBorder="1" applyAlignment="1">
      <alignment horizontal="right"/>
    </xf>
    <xf numFmtId="166" fontId="6" fillId="0" borderId="15" xfId="0" applyNumberFormat="1" applyFont="1" applyBorder="1" applyAlignment="1">
      <alignment horizontal="right"/>
    </xf>
    <xf numFmtId="10" fontId="6" fillId="0" borderId="15" xfId="2" applyNumberFormat="1" applyFont="1" applyFill="1" applyBorder="1" applyAlignment="1">
      <alignment horizontal="right"/>
    </xf>
    <xf numFmtId="10" fontId="6" fillId="4" borderId="15" xfId="2" applyNumberFormat="1" applyFont="1" applyFill="1" applyBorder="1" applyAlignment="1">
      <alignment horizontal="right"/>
    </xf>
    <xf numFmtId="10" fontId="6" fillId="4" borderId="26" xfId="2" applyNumberFormat="1" applyFont="1" applyFill="1" applyBorder="1" applyAlignment="1">
      <alignment horizontal="right"/>
    </xf>
    <xf numFmtId="3" fontId="6" fillId="4" borderId="15" xfId="0" applyNumberFormat="1" applyFont="1" applyFill="1" applyBorder="1" applyAlignment="1">
      <alignment horizontal="right"/>
    </xf>
    <xf numFmtId="0" fontId="8" fillId="2" borderId="18" xfId="0" applyFont="1" applyFill="1" applyBorder="1"/>
    <xf numFmtId="2" fontId="6" fillId="4" borderId="25" xfId="0" applyNumberFormat="1" applyFont="1" applyFill="1" applyBorder="1" applyAlignment="1">
      <alignment horizontal="right"/>
    </xf>
    <xf numFmtId="2" fontId="6" fillId="4" borderId="26" xfId="0" applyNumberFormat="1" applyFont="1" applyFill="1" applyBorder="1" applyAlignment="1">
      <alignment horizontal="right"/>
    </xf>
    <xf numFmtId="10" fontId="6" fillId="0" borderId="0" xfId="0" applyNumberFormat="1" applyFont="1"/>
    <xf numFmtId="10" fontId="6" fillId="0" borderId="15" xfId="0" applyNumberFormat="1" applyFont="1" applyBorder="1" applyAlignment="1">
      <alignment horizontal="right"/>
    </xf>
    <xf numFmtId="10" fontId="6" fillId="4" borderId="15" xfId="0" applyNumberFormat="1" applyFont="1" applyFill="1" applyBorder="1" applyAlignment="1">
      <alignment horizontal="right"/>
    </xf>
    <xf numFmtId="0" fontId="5" fillId="2" borderId="29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7" fillId="0" borderId="32" xfId="0" applyFont="1" applyBorder="1"/>
    <xf numFmtId="43" fontId="6" fillId="0" borderId="2" xfId="1" applyFont="1" applyFill="1" applyBorder="1" applyAlignment="1">
      <alignment horizontal="right"/>
    </xf>
    <xf numFmtId="10" fontId="6" fillId="0" borderId="2" xfId="2" applyNumberFormat="1" applyFont="1" applyFill="1" applyBorder="1" applyAlignment="1">
      <alignment horizontal="right"/>
    </xf>
    <xf numFmtId="10" fontId="6" fillId="0" borderId="33" xfId="2" applyNumberFormat="1" applyFont="1" applyFill="1" applyBorder="1" applyAlignment="1">
      <alignment horizontal="right"/>
    </xf>
    <xf numFmtId="0" fontId="7" fillId="4" borderId="32" xfId="0" applyFont="1" applyFill="1" applyBorder="1"/>
    <xf numFmtId="10" fontId="6" fillId="4" borderId="2" xfId="2" applyNumberFormat="1" applyFont="1" applyFill="1" applyBorder="1" applyAlignment="1">
      <alignment horizontal="right"/>
    </xf>
    <xf numFmtId="10" fontId="6" fillId="4" borderId="33" xfId="2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4" borderId="2" xfId="0" applyFont="1" applyFill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6" fillId="0" borderId="33" xfId="0" applyNumberFormat="1" applyFont="1" applyBorder="1" applyAlignment="1">
      <alignment horizontal="right"/>
    </xf>
    <xf numFmtId="2" fontId="6" fillId="4" borderId="2" xfId="0" applyNumberFormat="1" applyFont="1" applyFill="1" applyBorder="1" applyAlignment="1">
      <alignment horizontal="right"/>
    </xf>
    <xf numFmtId="2" fontId="6" fillId="4" borderId="33" xfId="0" applyNumberFormat="1" applyFont="1" applyFill="1" applyBorder="1" applyAlignment="1">
      <alignment horizontal="right"/>
    </xf>
    <xf numFmtId="10" fontId="6" fillId="0" borderId="33" xfId="0" applyNumberFormat="1" applyFont="1" applyBorder="1" applyAlignment="1">
      <alignment horizontal="right"/>
    </xf>
    <xf numFmtId="0" fontId="7" fillId="4" borderId="34" xfId="0" applyFont="1" applyFill="1" applyBorder="1"/>
    <xf numFmtId="0" fontId="6" fillId="4" borderId="35" xfId="0" applyFont="1" applyFill="1" applyBorder="1" applyAlignment="1">
      <alignment horizontal="right"/>
    </xf>
    <xf numFmtId="10" fontId="6" fillId="4" borderId="36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167" fontId="9" fillId="5" borderId="24" xfId="1" applyNumberFormat="1" applyFont="1" applyFill="1" applyBorder="1" applyAlignment="1">
      <alignment horizontal="center" vertical="center"/>
    </xf>
    <xf numFmtId="168" fontId="9" fillId="5" borderId="24" xfId="1" applyNumberFormat="1" applyFont="1" applyFill="1" applyBorder="1" applyAlignment="1">
      <alignment horizontal="center" vertical="center"/>
    </xf>
    <xf numFmtId="165" fontId="9" fillId="5" borderId="24" xfId="2" applyNumberFormat="1" applyFont="1" applyFill="1" applyBorder="1" applyAlignment="1">
      <alignment horizontal="center" vertical="center"/>
    </xf>
    <xf numFmtId="165" fontId="9" fillId="5" borderId="17" xfId="0" applyNumberFormat="1" applyFont="1" applyFill="1" applyBorder="1" applyAlignment="1">
      <alignment horizontal="center" vertical="center"/>
    </xf>
    <xf numFmtId="0" fontId="6" fillId="4" borderId="13" xfId="0" applyFont="1" applyFill="1" applyBorder="1"/>
    <xf numFmtId="0" fontId="6" fillId="0" borderId="13" xfId="0" applyFont="1" applyBorder="1"/>
    <xf numFmtId="0" fontId="6" fillId="4" borderId="15" xfId="0" applyFont="1" applyFill="1" applyBorder="1"/>
    <xf numFmtId="0" fontId="6" fillId="0" borderId="15" xfId="0" applyFont="1" applyBorder="1"/>
    <xf numFmtId="0" fontId="6" fillId="4" borderId="24" xfId="0" applyFont="1" applyFill="1" applyBorder="1"/>
    <xf numFmtId="0" fontId="6" fillId="4" borderId="25" xfId="0" applyFont="1" applyFill="1" applyBorder="1"/>
    <xf numFmtId="0" fontId="6" fillId="4" borderId="26" xfId="0" applyFont="1" applyFill="1" applyBorder="1"/>
    <xf numFmtId="0" fontId="8" fillId="2" borderId="13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center"/>
    </xf>
    <xf numFmtId="0" fontId="7" fillId="0" borderId="24" xfId="0" applyFont="1" applyBorder="1" applyAlignment="1">
      <alignment horizontal="left"/>
    </xf>
    <xf numFmtId="164" fontId="6" fillId="0" borderId="25" xfId="1" applyNumberFormat="1" applyFont="1" applyFill="1" applyBorder="1" applyAlignment="1">
      <alignment horizontal="right"/>
    </xf>
    <xf numFmtId="164" fontId="6" fillId="0" borderId="26" xfId="1" applyNumberFormat="1" applyFont="1" applyFill="1" applyBorder="1" applyAlignment="1">
      <alignment horizontal="right"/>
    </xf>
    <xf numFmtId="10" fontId="6" fillId="0" borderId="25" xfId="2" applyNumberFormat="1" applyFont="1" applyFill="1" applyBorder="1" applyAlignment="1">
      <alignment horizontal="right"/>
    </xf>
    <xf numFmtId="10" fontId="6" fillId="0" borderId="26" xfId="2" applyNumberFormat="1" applyFont="1" applyFill="1" applyBorder="1" applyAlignment="1">
      <alignment horizontal="right"/>
    </xf>
    <xf numFmtId="165" fontId="11" fillId="0" borderId="0" xfId="0" applyNumberFormat="1" applyFont="1" applyAlignment="1">
      <alignment horizontal="right"/>
    </xf>
    <xf numFmtId="165" fontId="11" fillId="4" borderId="0" xfId="0" applyNumberFormat="1" applyFont="1" applyFill="1" applyAlignment="1">
      <alignment horizontal="right"/>
    </xf>
    <xf numFmtId="165" fontId="11" fillId="0" borderId="15" xfId="0" applyNumberFormat="1" applyFont="1" applyBorder="1" applyAlignment="1">
      <alignment horizontal="right"/>
    </xf>
    <xf numFmtId="165" fontId="11" fillId="4" borderId="15" xfId="0" applyNumberFormat="1" applyFont="1" applyFill="1" applyBorder="1" applyAlignment="1">
      <alignment horizontal="right"/>
    </xf>
    <xf numFmtId="165" fontId="11" fillId="4" borderId="25" xfId="0" applyNumberFormat="1" applyFont="1" applyFill="1" applyBorder="1" applyAlignment="1">
      <alignment horizontal="right"/>
    </xf>
    <xf numFmtId="165" fontId="11" fillId="4" borderId="26" xfId="0" applyNumberFormat="1" applyFont="1" applyFill="1" applyBorder="1" applyAlignment="1">
      <alignment horizontal="right"/>
    </xf>
    <xf numFmtId="10" fontId="13" fillId="0" borderId="0" xfId="2" applyNumberFormat="1" applyFont="1" applyFill="1" applyBorder="1" applyAlignment="1">
      <alignment horizontal="right"/>
    </xf>
    <xf numFmtId="10" fontId="13" fillId="0" borderId="0" xfId="0" applyNumberFormat="1" applyFont="1" applyAlignment="1">
      <alignment horizontal="right"/>
    </xf>
    <xf numFmtId="0" fontId="12" fillId="0" borderId="13" xfId="0" applyFont="1" applyBorder="1"/>
    <xf numFmtId="10" fontId="13" fillId="0" borderId="15" xfId="2" applyNumberFormat="1" applyFont="1" applyFill="1" applyBorder="1" applyAlignment="1">
      <alignment horizontal="right"/>
    </xf>
    <xf numFmtId="164" fontId="6" fillId="4" borderId="13" xfId="1" applyNumberFormat="1" applyFont="1" applyFill="1" applyBorder="1" applyAlignment="1">
      <alignment horizontal="right"/>
    </xf>
    <xf numFmtId="10" fontId="13" fillId="0" borderId="13" xfId="2" applyNumberFormat="1" applyFont="1" applyFill="1" applyBorder="1" applyAlignment="1">
      <alignment horizontal="right"/>
    </xf>
    <xf numFmtId="164" fontId="7" fillId="5" borderId="14" xfId="1" applyNumberFormat="1" applyFont="1" applyFill="1" applyBorder="1" applyAlignment="1">
      <alignment horizontal="right"/>
    </xf>
    <xf numFmtId="164" fontId="6" fillId="0" borderId="13" xfId="1" applyNumberFormat="1" applyFont="1" applyFill="1" applyBorder="1" applyAlignment="1">
      <alignment horizontal="right"/>
    </xf>
    <xf numFmtId="164" fontId="8" fillId="2" borderId="27" xfId="1" applyNumberFormat="1" applyFont="1" applyFill="1" applyBorder="1" applyAlignment="1">
      <alignment horizontal="right"/>
    </xf>
    <xf numFmtId="164" fontId="8" fillId="2" borderId="18" xfId="1" applyNumberFormat="1" applyFont="1" applyFill="1" applyBorder="1" applyAlignment="1">
      <alignment horizontal="right"/>
    </xf>
    <xf numFmtId="10" fontId="11" fillId="0" borderId="0" xfId="0" applyNumberFormat="1" applyFont="1" applyAlignment="1">
      <alignment horizontal="right"/>
    </xf>
    <xf numFmtId="10" fontId="11" fillId="0" borderId="15" xfId="0" applyNumberFormat="1" applyFont="1" applyBorder="1" applyAlignment="1">
      <alignment horizontal="right"/>
    </xf>
    <xf numFmtId="10" fontId="11" fillId="4" borderId="25" xfId="0" applyNumberFormat="1" applyFont="1" applyFill="1" applyBorder="1" applyAlignment="1">
      <alignment horizontal="right"/>
    </xf>
    <xf numFmtId="10" fontId="11" fillId="4" borderId="26" xfId="0" applyNumberFormat="1" applyFont="1" applyFill="1" applyBorder="1" applyAlignment="1">
      <alignment horizontal="right"/>
    </xf>
    <xf numFmtId="169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9" fontId="6" fillId="4" borderId="0" xfId="0" applyNumberFormat="1" applyFont="1" applyFill="1" applyAlignment="1">
      <alignment horizontal="right"/>
    </xf>
    <xf numFmtId="164" fontId="6" fillId="4" borderId="0" xfId="0" applyNumberFormat="1" applyFont="1" applyFill="1" applyAlignment="1">
      <alignment horizontal="right"/>
    </xf>
    <xf numFmtId="164" fontId="6" fillId="0" borderId="15" xfId="0" applyNumberFormat="1" applyFont="1" applyBorder="1" applyAlignment="1">
      <alignment horizontal="right"/>
    </xf>
    <xf numFmtId="164" fontId="6" fillId="4" borderId="15" xfId="0" applyNumberFormat="1" applyFont="1" applyFill="1" applyBorder="1" applyAlignment="1">
      <alignment horizontal="right"/>
    </xf>
    <xf numFmtId="0" fontId="7" fillId="5" borderId="38" xfId="0" applyFont="1" applyFill="1" applyBorder="1"/>
    <xf numFmtId="0" fontId="7" fillId="5" borderId="39" xfId="0" applyFont="1" applyFill="1" applyBorder="1"/>
    <xf numFmtId="164" fontId="7" fillId="5" borderId="40" xfId="0" applyNumberFormat="1" applyFont="1" applyFill="1" applyBorder="1" applyAlignment="1">
      <alignment horizontal="right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7" fillId="5" borderId="13" xfId="0" applyFont="1" applyFill="1" applyBorder="1"/>
    <xf numFmtId="164" fontId="7" fillId="5" borderId="15" xfId="0" applyNumberFormat="1" applyFont="1" applyFill="1" applyBorder="1" applyAlignment="1">
      <alignment horizontal="right"/>
    </xf>
    <xf numFmtId="0" fontId="7" fillId="5" borderId="24" xfId="0" applyFont="1" applyFill="1" applyBorder="1"/>
    <xf numFmtId="164" fontId="7" fillId="5" borderId="26" xfId="0" applyNumberFormat="1" applyFont="1" applyFill="1" applyBorder="1" applyAlignment="1">
      <alignment horizontal="right"/>
    </xf>
    <xf numFmtId="164" fontId="8" fillId="2" borderId="28" xfId="0" applyNumberFormat="1" applyFont="1" applyFill="1" applyBorder="1" applyAlignment="1">
      <alignment horizontal="right"/>
    </xf>
    <xf numFmtId="0" fontId="3" fillId="6" borderId="18" xfId="0" applyFont="1" applyFill="1" applyBorder="1"/>
    <xf numFmtId="43" fontId="3" fillId="6" borderId="20" xfId="0" applyNumberFormat="1" applyFont="1" applyFill="1" applyBorder="1" applyAlignment="1">
      <alignment horizontal="right"/>
    </xf>
    <xf numFmtId="0" fontId="7" fillId="6" borderId="18" xfId="0" applyFont="1" applyFill="1" applyBorder="1"/>
    <xf numFmtId="43" fontId="7" fillId="6" borderId="19" xfId="0" applyNumberFormat="1" applyFont="1" applyFill="1" applyBorder="1" applyAlignment="1">
      <alignment horizontal="right"/>
    </xf>
    <xf numFmtId="4" fontId="7" fillId="6" borderId="19" xfId="0" applyNumberFormat="1" applyFont="1" applyFill="1" applyBorder="1" applyAlignment="1">
      <alignment horizontal="right"/>
    </xf>
    <xf numFmtId="43" fontId="7" fillId="6" borderId="2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14" fillId="2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2" borderId="25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/>
    </xf>
    <xf numFmtId="0" fontId="6" fillId="0" borderId="22" xfId="0" applyFont="1" applyBorder="1"/>
    <xf numFmtId="0" fontId="6" fillId="0" borderId="23" xfId="0" applyFont="1" applyBorder="1"/>
    <xf numFmtId="0" fontId="5" fillId="3" borderId="21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6" fillId="0" borderId="15" xfId="0" applyFont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10" fillId="9" borderId="0" xfId="0" applyFont="1" applyFill="1" applyAlignment="1">
      <alignment horizontal="left"/>
    </xf>
    <xf numFmtId="0" fontId="7" fillId="0" borderId="23" xfId="0" applyFont="1" applyBorder="1"/>
    <xf numFmtId="0" fontId="10" fillId="7" borderId="0" xfId="0" applyFont="1" applyFill="1" applyAlignment="1">
      <alignment horizontal="left"/>
    </xf>
    <xf numFmtId="0" fontId="10" fillId="8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6" fillId="0" borderId="0" xfId="0" applyFont="1"/>
    <xf numFmtId="0" fontId="3" fillId="4" borderId="24" xfId="0" applyFont="1" applyFill="1" applyBorder="1" applyAlignment="1">
      <alignment horizontal="left" vertical="top" wrapText="1"/>
    </xf>
    <xf numFmtId="0" fontId="7" fillId="0" borderId="25" xfId="0" applyFont="1" applyBorder="1"/>
    <xf numFmtId="0" fontId="7" fillId="0" borderId="26" xfId="0" applyFont="1" applyBorder="1"/>
    <xf numFmtId="0" fontId="15" fillId="10" borderId="0" xfId="0" applyFont="1" applyFill="1" applyBorder="1" applyAlignment="1">
      <alignment horizontal="left"/>
    </xf>
    <xf numFmtId="0" fontId="17" fillId="4" borderId="0" xfId="0" applyFont="1" applyFill="1" applyBorder="1" applyAlignment="1">
      <alignment horizontal="left" wrapText="1"/>
    </xf>
    <xf numFmtId="0" fontId="0" fillId="0" borderId="0" xfId="0" applyBorder="1"/>
    <xf numFmtId="0" fontId="17" fillId="4" borderId="25" xfId="0" applyFont="1" applyFill="1" applyBorder="1" applyAlignment="1">
      <alignment horizontal="left" wrapText="1"/>
    </xf>
    <xf numFmtId="0" fontId="17" fillId="4" borderId="13" xfId="0" applyFont="1" applyFill="1" applyBorder="1" applyAlignment="1">
      <alignment horizontal="left" wrapText="1"/>
    </xf>
    <xf numFmtId="0" fontId="0" fillId="0" borderId="13" xfId="0" applyBorder="1"/>
    <xf numFmtId="0" fontId="17" fillId="4" borderId="24" xfId="0" applyFont="1" applyFill="1" applyBorder="1" applyAlignment="1">
      <alignment horizontal="left" wrapText="1"/>
    </xf>
    <xf numFmtId="0" fontId="17" fillId="4" borderId="15" xfId="0" applyFont="1" applyFill="1" applyBorder="1" applyAlignment="1">
      <alignment horizontal="left" wrapText="1"/>
    </xf>
    <xf numFmtId="0" fontId="0" fillId="0" borderId="15" xfId="0" applyBorder="1"/>
    <xf numFmtId="0" fontId="17" fillId="4" borderId="26" xfId="0" applyFont="1" applyFill="1" applyBorder="1" applyAlignment="1">
      <alignment horizontal="left" wrapText="1"/>
    </xf>
    <xf numFmtId="0" fontId="16" fillId="0" borderId="22" xfId="0" applyFont="1" applyBorder="1"/>
    <xf numFmtId="0" fontId="16" fillId="0" borderId="23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 &amp; Net Income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'KPI Dashboard'!$C$38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'KPI Dashboard'!$B$39:$B$41</c:f>
              <c:strCache>
                <c:ptCount val="3"/>
                <c:pt idx="0">
                  <c:v>FY2024</c:v>
                </c:pt>
                <c:pt idx="1">
                  <c:v>FY2025</c:v>
                </c:pt>
                <c:pt idx="2">
                  <c:v>FY2026</c:v>
                </c:pt>
              </c:strCache>
            </c:strRef>
          </c:cat>
          <c:val>
            <c:numRef>
              <c:f>'KPI Dashboard'!$C$39:$C$41</c:f>
              <c:numCache>
                <c:formatCode>_(* #,##0_);_(* \(#,##0\);_(* "-"??_);_(@_)</c:formatCode>
                <c:ptCount val="3"/>
                <c:pt idx="0">
                  <c:v>5153237</c:v>
                </c:pt>
                <c:pt idx="1">
                  <c:v>5550666</c:v>
                </c:pt>
                <c:pt idx="2">
                  <c:v>6165376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4-164C-9F0B-4A93FD0EC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4252720"/>
        <c:axId val="1234527888"/>
      </c:barChart>
      <c:lineChart>
        <c:grouping val="standard"/>
        <c:varyColors val="0"/>
        <c:ser>
          <c:idx val="1"/>
          <c:order val="1"/>
          <c:tx>
            <c:strRef>
              <c:f>'KPI Dashboard'!$D$38</c:f>
              <c:strCache>
                <c:ptCount val="1"/>
                <c:pt idx="0">
                  <c:v>Net Income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'KPI Dashboard'!$B$39:$B$41</c:f>
              <c:strCache>
                <c:ptCount val="3"/>
                <c:pt idx="0">
                  <c:v>FY2024</c:v>
                </c:pt>
                <c:pt idx="1">
                  <c:v>FY2025</c:v>
                </c:pt>
                <c:pt idx="2">
                  <c:v>FY2026</c:v>
                </c:pt>
              </c:strCache>
            </c:strRef>
          </c:cat>
          <c:val>
            <c:numRef>
              <c:f>'KPI Dashboard'!$D$39:$D$41</c:f>
              <c:numCache>
                <c:formatCode>_(* #,##0_);_(* \(#,##0\);_(* "-"??_);_(@_)</c:formatCode>
                <c:ptCount val="3"/>
                <c:pt idx="0">
                  <c:v>287674</c:v>
                </c:pt>
                <c:pt idx="1">
                  <c:v>402462</c:v>
                </c:pt>
                <c:pt idx="2">
                  <c:v>464919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4-164C-9F0B-4A93FD0EC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201728"/>
        <c:axId val="955198768"/>
      </c:lineChart>
      <c:catAx>
        <c:axId val="123425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4527888"/>
        <c:crosses val="autoZero"/>
        <c:auto val="1"/>
        <c:lblAlgn val="ctr"/>
        <c:lblOffset val="100"/>
        <c:noMultiLvlLbl val="0"/>
      </c:catAx>
      <c:valAx>
        <c:axId val="123452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425272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95519876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201728"/>
        <c:crosses val="max"/>
        <c:crossBetween val="between"/>
      </c:valAx>
      <c:catAx>
        <c:axId val="955201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51987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Profitability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Dashboard'!$C$45</c:f>
              <c:strCache>
                <c:ptCount val="1"/>
                <c:pt idx="0">
                  <c:v>Gross Margin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 Dashboard'!$B$46:$B$48</c:f>
              <c:strCache>
                <c:ptCount val="3"/>
                <c:pt idx="0">
                  <c:v>FY2024</c:v>
                </c:pt>
                <c:pt idx="1">
                  <c:v>FY2025</c:v>
                </c:pt>
                <c:pt idx="2">
                  <c:v>FY2026</c:v>
                </c:pt>
              </c:strCache>
            </c:strRef>
          </c:cat>
          <c:val>
            <c:numRef>
              <c:f>'KPI Dashboard'!$C$46:$C$48</c:f>
              <c:numCache>
                <c:formatCode>0.0%</c:formatCode>
                <c:ptCount val="3"/>
                <c:pt idx="0">
                  <c:v>0.33287892639131483</c:v>
                </c:pt>
                <c:pt idx="1">
                  <c:v>0.34710609501634576</c:v>
                </c:pt>
                <c:pt idx="2">
                  <c:v>0.35971090814250423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55-FD41-A486-D4FF4ED3114A}"/>
            </c:ext>
          </c:extLst>
        </c:ser>
        <c:ser>
          <c:idx val="1"/>
          <c:order val="1"/>
          <c:tx>
            <c:strRef>
              <c:f>'KPI Dashboard'!$D$45</c:f>
              <c:strCache>
                <c:ptCount val="1"/>
                <c:pt idx="0">
                  <c:v>Operating Margin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'KPI Dashboard'!$B$46:$B$48</c:f>
              <c:strCache>
                <c:ptCount val="3"/>
                <c:pt idx="0">
                  <c:v>FY2024</c:v>
                </c:pt>
                <c:pt idx="1">
                  <c:v>FY2025</c:v>
                </c:pt>
                <c:pt idx="2">
                  <c:v>FY2026</c:v>
                </c:pt>
              </c:strCache>
            </c:strRef>
          </c:cat>
          <c:val>
            <c:numRef>
              <c:f>'KPI Dashboard'!$D$46:$D$48</c:f>
              <c:numCache>
                <c:formatCode>0.0%</c:formatCode>
                <c:ptCount val="3"/>
                <c:pt idx="0">
                  <c:v>7.1759750230777283E-2</c:v>
                </c:pt>
                <c:pt idx="1">
                  <c:v>8.5352640566014965E-2</c:v>
                </c:pt>
                <c:pt idx="2">
                  <c:v>9.8231478501878883E-2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55-FD41-A486-D4FF4ED3114A}"/>
            </c:ext>
          </c:extLst>
        </c:ser>
        <c:ser>
          <c:idx val="2"/>
          <c:order val="2"/>
          <c:tx>
            <c:strRef>
              <c:f>'KPI Dashboard'!$E$45</c:f>
              <c:strCache>
                <c:ptCount val="1"/>
                <c:pt idx="0">
                  <c:v>Net Margin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'KPI Dashboard'!$B$46:$B$48</c:f>
              <c:strCache>
                <c:ptCount val="3"/>
                <c:pt idx="0">
                  <c:v>FY2024</c:v>
                </c:pt>
                <c:pt idx="1">
                  <c:v>FY2025</c:v>
                </c:pt>
                <c:pt idx="2">
                  <c:v>FY2026</c:v>
                </c:pt>
              </c:strCache>
            </c:strRef>
          </c:cat>
          <c:val>
            <c:numRef>
              <c:f>'KPI Dashboard'!$E$46:$E$48</c:f>
              <c:numCache>
                <c:formatCode>0.0%</c:formatCode>
                <c:ptCount val="3"/>
                <c:pt idx="0">
                  <c:v>5.5823941340171233E-2</c:v>
                </c:pt>
                <c:pt idx="1">
                  <c:v>7.2506974838695032E-2</c:v>
                </c:pt>
                <c:pt idx="2">
                  <c:v>7.5408052971951745E-2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55-FD41-A486-D4FF4ED31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209968"/>
        <c:axId val="1235179952"/>
      </c:lineChart>
      <c:catAx>
        <c:axId val="123520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5179952"/>
        <c:crosses val="autoZero"/>
        <c:auto val="1"/>
        <c:lblAlgn val="ctr"/>
        <c:lblOffset val="100"/>
        <c:noMultiLvlLbl val="0"/>
      </c:catAx>
      <c:valAx>
        <c:axId val="123517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520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</a:t>
            </a:r>
            <a:r>
              <a:rPr lang="en-US" baseline="0"/>
              <a:t> Flow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Dashboard'!$C$52</c:f>
              <c:strCache>
                <c:ptCount val="1"/>
                <c:pt idx="0">
                  <c:v>OCF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'KPI Dashboard'!$B$53:$B$55</c:f>
              <c:strCache>
                <c:ptCount val="3"/>
                <c:pt idx="0">
                  <c:v>FY2024</c:v>
                </c:pt>
                <c:pt idx="1">
                  <c:v>FY2025</c:v>
                </c:pt>
                <c:pt idx="2">
                  <c:v>FY2026</c:v>
                </c:pt>
              </c:strCache>
            </c:strRef>
          </c:cat>
          <c:val>
            <c:numRef>
              <c:f>'KPI Dashboard'!$C$53:$C$55</c:f>
              <c:numCache>
                <c:formatCode>_(* #,##0_);_(* \(#,##0\);_(* "-"??_);_(@_)</c:formatCode>
                <c:ptCount val="3"/>
                <c:pt idx="0">
                  <c:v>509411</c:v>
                </c:pt>
                <c:pt idx="1">
                  <c:v>502834</c:v>
                </c:pt>
                <c:pt idx="2">
                  <c:v>575190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7-624B-91F8-9CE1B2951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474848"/>
        <c:axId val="993476560"/>
      </c:lineChart>
      <c:catAx>
        <c:axId val="99347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3476560"/>
        <c:crosses val="autoZero"/>
        <c:auto val="1"/>
        <c:lblAlgn val="ctr"/>
        <c:lblOffset val="100"/>
        <c:noMultiLvlLbl val="0"/>
      </c:catAx>
      <c:valAx>
        <c:axId val="9934765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347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4</xdr:row>
      <xdr:rowOff>14818</xdr:rowOff>
    </xdr:from>
    <xdr:to>
      <xdr:col>5</xdr:col>
      <xdr:colOff>296333</xdr:colOff>
      <xdr:row>17</xdr:row>
      <xdr:rowOff>143934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6901EE-5734-C7EF-673F-101DA0F304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10583</xdr:colOff>
      <xdr:row>4</xdr:row>
      <xdr:rowOff>14817</xdr:rowOff>
    </xdr:from>
    <xdr:to>
      <xdr:col>11</xdr:col>
      <xdr:colOff>74083</xdr:colOff>
      <xdr:row>17</xdr:row>
      <xdr:rowOff>143933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8310CE7-4881-D049-7C07-983E461A5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359834</xdr:colOff>
      <xdr:row>19</xdr:row>
      <xdr:rowOff>31750</xdr:rowOff>
    </xdr:from>
    <xdr:to>
      <xdr:col>12</xdr:col>
      <xdr:colOff>381000</xdr:colOff>
      <xdr:row>32</xdr:row>
      <xdr:rowOff>126999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7BDF69B-3042-7033-5EF8-5EB10112B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2FFC219-C76E-3446-A088-2468AF9450E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fb0d7bc2-c836-4856-9946-686ddde7c64a&quot;"/>
  </we:properties>
  <we:bindings/>
  <we:snapshot xmlns:r="http://schemas.openxmlformats.org/officeDocument/2006/relationships"/>
</we:webextension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0B6F-A30B-F441-B73B-8600FAA5ADF9}">
  <sheetPr>
    <tabColor rgb="FF1F3864"/>
  </sheetPr>
  <dimension ref="B2:H15"/>
  <sheetViews>
    <sheetView zoomScale="120" zoomScaleNormal="120" workbookViewId="0">
      <selection activeCell="D23" sqref="D23"/>
    </sheetView>
  </sheetViews>
  <sheetFormatPr baseColWidth="10" defaultRowHeight="16" x14ac:dyDescent="0.2"/>
  <cols>
    <col min="1" max="1" width="3" customWidth="1"/>
    <col min="2" max="2" width="6.6640625" customWidth="1"/>
    <col min="3" max="3" width="36.6640625" customWidth="1"/>
    <col min="4" max="4" width="63.33203125" customWidth="1"/>
  </cols>
  <sheetData>
    <row r="2" spans="2:8" ht="32" customHeight="1" x14ac:dyDescent="0.2">
      <c r="B2" s="154" t="s">
        <v>155</v>
      </c>
      <c r="C2" s="154"/>
      <c r="D2" s="154"/>
      <c r="E2" s="154"/>
      <c r="F2" s="154"/>
      <c r="G2" s="154"/>
      <c r="H2" s="154"/>
    </row>
    <row r="3" spans="2:8" ht="22" customHeight="1" x14ac:dyDescent="0.2">
      <c r="B3" s="155" t="s">
        <v>131</v>
      </c>
      <c r="C3" s="155"/>
      <c r="D3" s="155"/>
      <c r="E3" s="155"/>
      <c r="F3" s="155"/>
      <c r="G3" s="155"/>
      <c r="H3" s="155"/>
    </row>
    <row r="5" spans="2:8" x14ac:dyDescent="0.2">
      <c r="B5" s="3" t="s">
        <v>132</v>
      </c>
      <c r="C5" s="4" t="s">
        <v>133</v>
      </c>
      <c r="D5" s="5" t="s">
        <v>134</v>
      </c>
    </row>
    <row r="6" spans="2:8" x14ac:dyDescent="0.2">
      <c r="B6" s="6">
        <v>1</v>
      </c>
      <c r="C6" s="7" t="s">
        <v>148</v>
      </c>
      <c r="D6" s="8" t="s">
        <v>135</v>
      </c>
    </row>
    <row r="7" spans="2:8" x14ac:dyDescent="0.2">
      <c r="B7" s="9">
        <v>2</v>
      </c>
      <c r="C7" s="10" t="s">
        <v>150</v>
      </c>
      <c r="D7" s="11" t="s">
        <v>136</v>
      </c>
    </row>
    <row r="8" spans="2:8" x14ac:dyDescent="0.2">
      <c r="B8" s="6">
        <v>3</v>
      </c>
      <c r="C8" s="7" t="s">
        <v>151</v>
      </c>
      <c r="D8" s="8" t="s">
        <v>137</v>
      </c>
    </row>
    <row r="9" spans="2:8" x14ac:dyDescent="0.2">
      <c r="B9" s="9">
        <v>4</v>
      </c>
      <c r="C9" s="10" t="s">
        <v>138</v>
      </c>
      <c r="D9" s="11" t="s">
        <v>139</v>
      </c>
    </row>
    <row r="10" spans="2:8" x14ac:dyDescent="0.2">
      <c r="B10" s="6">
        <v>5</v>
      </c>
      <c r="C10" s="7" t="s">
        <v>140</v>
      </c>
      <c r="D10" s="8" t="s">
        <v>159</v>
      </c>
    </row>
    <row r="11" spans="2:8" x14ac:dyDescent="0.2">
      <c r="B11" s="9">
        <v>6</v>
      </c>
      <c r="C11" s="10" t="s">
        <v>146</v>
      </c>
      <c r="D11" s="11" t="s">
        <v>141</v>
      </c>
    </row>
    <row r="12" spans="2:8" x14ac:dyDescent="0.2">
      <c r="B12" s="6">
        <v>7</v>
      </c>
      <c r="C12" s="7" t="s">
        <v>142</v>
      </c>
      <c r="D12" s="8" t="s">
        <v>143</v>
      </c>
    </row>
    <row r="13" spans="2:8" x14ac:dyDescent="0.2">
      <c r="B13" s="9">
        <v>8</v>
      </c>
      <c r="C13" s="10" t="s">
        <v>144</v>
      </c>
      <c r="D13" s="11" t="s">
        <v>158</v>
      </c>
    </row>
    <row r="14" spans="2:8" x14ac:dyDescent="0.2">
      <c r="B14" s="6">
        <v>9</v>
      </c>
      <c r="C14" s="7" t="s">
        <v>145</v>
      </c>
      <c r="D14" s="8" t="s">
        <v>157</v>
      </c>
    </row>
    <row r="15" spans="2:8" x14ac:dyDescent="0.2">
      <c r="B15" s="12">
        <v>10</v>
      </c>
      <c r="C15" s="13" t="s">
        <v>129</v>
      </c>
      <c r="D15" s="14" t="s">
        <v>156</v>
      </c>
    </row>
  </sheetData>
  <mergeCells count="2">
    <mergeCell ref="B2:H2"/>
    <mergeCell ref="B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F527-6033-7842-A39D-23E4633A67AE}">
  <sheetPr>
    <tabColor rgb="FF1F3864"/>
  </sheetPr>
  <dimension ref="A1:P43"/>
  <sheetViews>
    <sheetView tabSelected="1" zoomScaleNormal="100" workbookViewId="0">
      <selection activeCell="N36" sqref="N36"/>
    </sheetView>
  </sheetViews>
  <sheetFormatPr baseColWidth="10" defaultRowHeight="16" x14ac:dyDescent="0.2"/>
  <cols>
    <col min="1" max="1" width="2" customWidth="1"/>
    <col min="2" max="2" width="30" customWidth="1"/>
    <col min="3" max="5" width="16.6640625" customWidth="1"/>
    <col min="6" max="6" width="3" customWidth="1"/>
    <col min="7" max="7" width="17.1640625" bestFit="1" customWidth="1"/>
    <col min="8" max="10" width="16.6640625" customWidth="1"/>
    <col min="11" max="11" width="3" customWidth="1"/>
    <col min="12" max="12" width="17.1640625" bestFit="1" customWidth="1"/>
    <col min="13" max="15" width="16.6640625" customWidth="1"/>
  </cols>
  <sheetData>
    <row r="1" spans="1:16" x14ac:dyDescent="0.2">
      <c r="B1" s="178" t="s">
        <v>153</v>
      </c>
    </row>
    <row r="2" spans="1:16" ht="30" customHeight="1" thickBot="1" x14ac:dyDescent="0.25">
      <c r="A2" s="15"/>
      <c r="B2" s="156" t="s">
        <v>145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"/>
    </row>
    <row r="3" spans="1:16" ht="24" customHeight="1" x14ac:dyDescent="0.2">
      <c r="A3" s="15"/>
      <c r="B3" s="34" t="s">
        <v>120</v>
      </c>
      <c r="C3" s="35" t="s">
        <v>103</v>
      </c>
      <c r="D3" s="35" t="s">
        <v>104</v>
      </c>
      <c r="E3" s="36" t="s">
        <v>105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x14ac:dyDescent="0.2">
      <c r="A4" s="15"/>
      <c r="B4" s="37" t="s">
        <v>109</v>
      </c>
      <c r="C4" s="127">
        <v>9.5000000000000001E-2</v>
      </c>
      <c r="D4" s="127">
        <v>8.5000000000000006E-2</v>
      </c>
      <c r="E4" s="128">
        <v>7.4999999999999997E-2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17" thickBot="1" x14ac:dyDescent="0.25">
      <c r="A5" s="15"/>
      <c r="B5" s="54" t="s">
        <v>106</v>
      </c>
      <c r="C5" s="129">
        <v>0.02</v>
      </c>
      <c r="D5" s="129">
        <v>2.5000000000000001E-2</v>
      </c>
      <c r="E5" s="130">
        <v>0.03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9" thickBot="1" x14ac:dyDescent="0.3">
      <c r="A7" s="15"/>
      <c r="B7" s="169" t="s">
        <v>126</v>
      </c>
      <c r="C7" s="169"/>
      <c r="D7" s="169"/>
      <c r="E7" s="169"/>
      <c r="F7" s="15"/>
      <c r="G7" s="171" t="s">
        <v>125</v>
      </c>
      <c r="H7" s="171"/>
      <c r="I7" s="171"/>
      <c r="J7" s="171"/>
      <c r="K7" s="15"/>
      <c r="L7" s="172" t="s">
        <v>127</v>
      </c>
      <c r="M7" s="172"/>
      <c r="N7" s="172"/>
      <c r="O7" s="172"/>
      <c r="P7" s="15"/>
    </row>
    <row r="8" spans="1:16" x14ac:dyDescent="0.2">
      <c r="A8" s="15"/>
      <c r="B8" s="140" t="s">
        <v>54</v>
      </c>
      <c r="C8" s="141" t="s">
        <v>110</v>
      </c>
      <c r="D8" s="141" t="s">
        <v>111</v>
      </c>
      <c r="E8" s="142" t="s">
        <v>112</v>
      </c>
      <c r="F8" s="15"/>
      <c r="G8" s="140" t="s">
        <v>54</v>
      </c>
      <c r="H8" s="141" t="s">
        <v>110</v>
      </c>
      <c r="I8" s="141" t="s">
        <v>111</v>
      </c>
      <c r="J8" s="142" t="s">
        <v>112</v>
      </c>
      <c r="K8" s="15"/>
      <c r="L8" s="140" t="s">
        <v>54</v>
      </c>
      <c r="M8" s="141" t="s">
        <v>110</v>
      </c>
      <c r="N8" s="141" t="s">
        <v>111</v>
      </c>
      <c r="O8" s="142" t="s">
        <v>112</v>
      </c>
      <c r="P8" s="15"/>
    </row>
    <row r="9" spans="1:16" x14ac:dyDescent="0.2">
      <c r="A9" s="15"/>
      <c r="B9" s="24" t="s">
        <v>76</v>
      </c>
      <c r="C9" s="17">
        <f>'Forecast Model'!D17</f>
        <v>361593.2115199999</v>
      </c>
      <c r="D9" s="131">
        <f>1/(1+D4)^1</f>
        <v>0.92165898617511521</v>
      </c>
      <c r="E9" s="135">
        <f>C9*D9</f>
        <v>333265.63273732708</v>
      </c>
      <c r="F9" s="15"/>
      <c r="G9" s="24" t="s">
        <v>76</v>
      </c>
      <c r="H9" s="17">
        <f>C9</f>
        <v>361593.2115199999</v>
      </c>
      <c r="I9" s="131">
        <f>1/(1+$C$4)^1</f>
        <v>0.91324200913242015</v>
      </c>
      <c r="J9" s="135">
        <f>H9*I9</f>
        <v>330222.11097716889</v>
      </c>
      <c r="K9" s="15"/>
      <c r="L9" s="24" t="s">
        <v>76</v>
      </c>
      <c r="M9" s="17">
        <f>C9</f>
        <v>361593.2115199999</v>
      </c>
      <c r="N9" s="131">
        <f>1/(1+$E$4)^1</f>
        <v>0.93023255813953487</v>
      </c>
      <c r="O9" s="135">
        <f>M9*N9</f>
        <v>336365.77815813944</v>
      </c>
      <c r="P9" s="15"/>
    </row>
    <row r="10" spans="1:16" x14ac:dyDescent="0.2">
      <c r="A10" s="15"/>
      <c r="B10" s="25" t="s">
        <v>77</v>
      </c>
      <c r="C10" s="20">
        <f>'Forecast Model'!E17</f>
        <v>383965.85616076784</v>
      </c>
      <c r="D10" s="133">
        <f>1/(1+D4)^2</f>
        <v>0.84945528679734128</v>
      </c>
      <c r="E10" s="136">
        <f t="shared" ref="E10:E13" si="0">C10*D10</f>
        <v>326161.82646543172</v>
      </c>
      <c r="F10" s="15"/>
      <c r="G10" s="25" t="s">
        <v>77</v>
      </c>
      <c r="H10" s="20">
        <f t="shared" ref="H10:H13" si="1">C10</f>
        <v>383965.85616076784</v>
      </c>
      <c r="I10" s="133">
        <f>1/(1+$C$4)^2</f>
        <v>0.8340109672442193</v>
      </c>
      <c r="J10" s="136">
        <f t="shared" ref="J10:J13" si="2">H10*I10</f>
        <v>320231.73508539679</v>
      </c>
      <c r="K10" s="15"/>
      <c r="L10" s="25" t="s">
        <v>77</v>
      </c>
      <c r="M10" s="20">
        <f t="shared" ref="M10:M13" si="3">C10</f>
        <v>383965.85616076784</v>
      </c>
      <c r="N10" s="133">
        <f>1/(1+$E$4)^2</f>
        <v>0.86533261222282321</v>
      </c>
      <c r="O10" s="136">
        <f t="shared" ref="O10:O13" si="4">M10*N10</f>
        <v>332258.17731597001</v>
      </c>
      <c r="P10" s="15"/>
    </row>
    <row r="11" spans="1:16" x14ac:dyDescent="0.2">
      <c r="A11" s="15"/>
      <c r="B11" s="24" t="s">
        <v>78</v>
      </c>
      <c r="C11" s="17">
        <f>'Forecast Model'!F17</f>
        <v>401215.13501755375</v>
      </c>
      <c r="D11" s="131">
        <f>1/(1+D4)^3</f>
        <v>0.78290809843072917</v>
      </c>
      <c r="E11" s="135">
        <f t="shared" si="0"/>
        <v>314114.57841822127</v>
      </c>
      <c r="F11" s="15"/>
      <c r="G11" s="24" t="s">
        <v>78</v>
      </c>
      <c r="H11" s="17">
        <f t="shared" si="1"/>
        <v>401215.13501755375</v>
      </c>
      <c r="I11" s="131">
        <f>1/(1+$C$4)^3</f>
        <v>0.76165385136458386</v>
      </c>
      <c r="J11" s="135">
        <f t="shared" si="2"/>
        <v>305587.05281188135</v>
      </c>
      <c r="K11" s="15"/>
      <c r="L11" s="24" t="s">
        <v>78</v>
      </c>
      <c r="M11" s="17">
        <f t="shared" si="3"/>
        <v>401215.13501755375</v>
      </c>
      <c r="N11" s="131">
        <f>1/(1+$E$4)^3</f>
        <v>0.80496056950960304</v>
      </c>
      <c r="O11" s="135">
        <f t="shared" si="4"/>
        <v>322962.36357960233</v>
      </c>
      <c r="P11" s="15"/>
    </row>
    <row r="12" spans="1:16" x14ac:dyDescent="0.2">
      <c r="A12" s="15"/>
      <c r="B12" s="25" t="s">
        <v>79</v>
      </c>
      <c r="C12" s="20">
        <f>'Forecast Model'!G17</f>
        <v>433873.37386552338</v>
      </c>
      <c r="D12" s="133">
        <f>1/(1+D4)^4</f>
        <v>0.72157428426795334</v>
      </c>
      <c r="E12" s="136">
        <f t="shared" si="0"/>
        <v>313071.86920993717</v>
      </c>
      <c r="F12" s="15"/>
      <c r="G12" s="25" t="s">
        <v>79</v>
      </c>
      <c r="H12" s="20">
        <f t="shared" si="1"/>
        <v>433873.37386552338</v>
      </c>
      <c r="I12" s="133">
        <f>1/(1+$C$4)^4</f>
        <v>0.6955742934836382</v>
      </c>
      <c r="J12" s="136">
        <f t="shared" si="2"/>
        <v>301791.16548787383</v>
      </c>
      <c r="K12" s="15"/>
      <c r="L12" s="25" t="s">
        <v>79</v>
      </c>
      <c r="M12" s="20">
        <f t="shared" si="3"/>
        <v>433873.37386552338</v>
      </c>
      <c r="N12" s="133">
        <f>1/(1+$E$4)^4</f>
        <v>0.7488005297763749</v>
      </c>
      <c r="O12" s="136">
        <f t="shared" si="4"/>
        <v>324884.61220636708</v>
      </c>
      <c r="P12" s="15"/>
    </row>
    <row r="13" spans="1:16" x14ac:dyDescent="0.2">
      <c r="A13" s="15"/>
      <c r="B13" s="24" t="s">
        <v>80</v>
      </c>
      <c r="C13" s="17">
        <f>'Forecast Model'!H17</f>
        <v>458025.28073448676</v>
      </c>
      <c r="D13" s="131">
        <f>1/(1+D4)^5</f>
        <v>0.66504542328843619</v>
      </c>
      <c r="E13" s="135">
        <f t="shared" si="0"/>
        <v>304607.61670287157</v>
      </c>
      <c r="F13" s="15"/>
      <c r="G13" s="24" t="s">
        <v>80</v>
      </c>
      <c r="H13" s="17">
        <f t="shared" si="1"/>
        <v>458025.28073448676</v>
      </c>
      <c r="I13" s="131">
        <f>1/(1+$C$4)^5</f>
        <v>0.63522766528186136</v>
      </c>
      <c r="J13" s="135">
        <f t="shared" si="2"/>
        <v>290950.32972103712</v>
      </c>
      <c r="K13" s="15"/>
      <c r="L13" s="24" t="s">
        <v>80</v>
      </c>
      <c r="M13" s="17">
        <f t="shared" si="3"/>
        <v>458025.28073448676</v>
      </c>
      <c r="N13" s="131">
        <f>1/(1+$E$4)^5</f>
        <v>0.69655863235011617</v>
      </c>
      <c r="O13" s="135">
        <f t="shared" si="4"/>
        <v>319041.46313019213</v>
      </c>
      <c r="P13" s="15"/>
    </row>
    <row r="14" spans="1:16" ht="17" thickBot="1" x14ac:dyDescent="0.25">
      <c r="A14" s="15"/>
      <c r="B14" s="137" t="s">
        <v>152</v>
      </c>
      <c r="C14" s="138"/>
      <c r="D14" s="138"/>
      <c r="E14" s="139">
        <f>SUM(E9:E13)</f>
        <v>1591221.5235337887</v>
      </c>
      <c r="F14" s="15"/>
      <c r="G14" s="137" t="s">
        <v>152</v>
      </c>
      <c r="H14" s="138"/>
      <c r="I14" s="138"/>
      <c r="J14" s="139">
        <f>SUM(J9:J13)</f>
        <v>1548782.3940833579</v>
      </c>
      <c r="K14" s="15"/>
      <c r="L14" s="137" t="s">
        <v>152</v>
      </c>
      <c r="M14" s="138"/>
      <c r="N14" s="138"/>
      <c r="O14" s="139">
        <f>SUM(O9:O13)</f>
        <v>1635512.3943902708</v>
      </c>
      <c r="P14" s="15"/>
    </row>
    <row r="15" spans="1:16" ht="17" thickBo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x14ac:dyDescent="0.2">
      <c r="A16" s="15"/>
      <c r="B16" s="162" t="s">
        <v>124</v>
      </c>
      <c r="C16" s="170"/>
      <c r="D16" s="15"/>
      <c r="E16" s="15"/>
      <c r="F16" s="15"/>
      <c r="G16" s="162" t="s">
        <v>124</v>
      </c>
      <c r="H16" s="170"/>
      <c r="I16" s="15"/>
      <c r="J16" s="15"/>
      <c r="K16" s="15"/>
      <c r="L16" s="162" t="s">
        <v>124</v>
      </c>
      <c r="M16" s="170"/>
      <c r="N16" s="15"/>
      <c r="O16" s="15"/>
      <c r="P16" s="15"/>
    </row>
    <row r="17" spans="1:16" x14ac:dyDescent="0.2">
      <c r="A17" s="15"/>
      <c r="B17" s="37" t="s">
        <v>114</v>
      </c>
      <c r="C17" s="135">
        <f>C13</f>
        <v>458025.28073448676</v>
      </c>
      <c r="D17" s="15"/>
      <c r="E17" s="15"/>
      <c r="F17" s="15"/>
      <c r="G17" s="37" t="s">
        <v>114</v>
      </c>
      <c r="H17" s="135">
        <f>H13</f>
        <v>458025.28073448676</v>
      </c>
      <c r="I17" s="15"/>
      <c r="J17" s="15"/>
      <c r="K17" s="15"/>
      <c r="L17" s="37" t="s">
        <v>114</v>
      </c>
      <c r="M17" s="135">
        <f>M13</f>
        <v>458025.28073448676</v>
      </c>
      <c r="N17" s="15"/>
      <c r="O17" s="15"/>
      <c r="P17" s="15"/>
    </row>
    <row r="18" spans="1:16" x14ac:dyDescent="0.2">
      <c r="A18" s="15"/>
      <c r="B18" s="38" t="s">
        <v>106</v>
      </c>
      <c r="C18" s="69">
        <f>D5</f>
        <v>2.5000000000000001E-2</v>
      </c>
      <c r="D18" s="15"/>
      <c r="E18" s="15"/>
      <c r="F18" s="15"/>
      <c r="G18" s="38" t="s">
        <v>106</v>
      </c>
      <c r="H18" s="69">
        <f>$C$5</f>
        <v>0.02</v>
      </c>
      <c r="I18" s="15"/>
      <c r="J18" s="15"/>
      <c r="K18" s="15"/>
      <c r="L18" s="38" t="s">
        <v>106</v>
      </c>
      <c r="M18" s="69">
        <f>$E$5</f>
        <v>0.03</v>
      </c>
      <c r="N18" s="15"/>
      <c r="O18" s="15"/>
      <c r="P18" s="15"/>
    </row>
    <row r="19" spans="1:16" x14ac:dyDescent="0.2">
      <c r="A19" s="15"/>
      <c r="B19" s="37" t="s">
        <v>109</v>
      </c>
      <c r="C19" s="68">
        <f>D4</f>
        <v>8.5000000000000006E-2</v>
      </c>
      <c r="D19" s="15"/>
      <c r="E19" s="15"/>
      <c r="F19" s="15"/>
      <c r="G19" s="37" t="s">
        <v>109</v>
      </c>
      <c r="H19" s="68">
        <f>$C$4</f>
        <v>9.5000000000000001E-2</v>
      </c>
      <c r="I19" s="15"/>
      <c r="J19" s="15"/>
      <c r="K19" s="15"/>
      <c r="L19" s="37" t="s">
        <v>109</v>
      </c>
      <c r="M19" s="68">
        <f>$E$4</f>
        <v>7.4999999999999997E-2</v>
      </c>
      <c r="N19" s="15"/>
      <c r="O19" s="15"/>
      <c r="P19" s="15"/>
    </row>
    <row r="20" spans="1:16" x14ac:dyDescent="0.2">
      <c r="A20" s="15"/>
      <c r="B20" s="38" t="s">
        <v>113</v>
      </c>
      <c r="C20" s="136">
        <f>C17*(1+C18)/(C19-C18)</f>
        <v>7824598.5458808141</v>
      </c>
      <c r="D20" s="15"/>
      <c r="E20" s="15"/>
      <c r="F20" s="15"/>
      <c r="G20" s="38" t="s">
        <v>113</v>
      </c>
      <c r="H20" s="136">
        <f>H17*(1+H18)/(H19-H18)</f>
        <v>6229143.8179890197</v>
      </c>
      <c r="I20" s="15"/>
      <c r="J20" s="15"/>
      <c r="K20" s="15"/>
      <c r="L20" s="38" t="s">
        <v>113</v>
      </c>
      <c r="M20" s="136">
        <f>M17*(1+M18)/(M19-M18)</f>
        <v>10483689.759033808</v>
      </c>
      <c r="N20" s="15"/>
      <c r="O20" s="15"/>
      <c r="P20" s="15"/>
    </row>
    <row r="21" spans="1:16" ht="17" thickBot="1" x14ac:dyDescent="0.25">
      <c r="A21" s="15"/>
      <c r="B21" s="145" t="s">
        <v>115</v>
      </c>
      <c r="C21" s="146">
        <f>C20*D13</f>
        <v>5203713.4520073887</v>
      </c>
      <c r="D21" s="15"/>
      <c r="E21" s="15"/>
      <c r="F21" s="15"/>
      <c r="G21" s="145" t="s">
        <v>115</v>
      </c>
      <c r="H21" s="146">
        <f>H20*I13</f>
        <v>3956924.4842061051</v>
      </c>
      <c r="I21" s="15"/>
      <c r="J21" s="15"/>
      <c r="K21" s="15"/>
      <c r="L21" s="145" t="s">
        <v>115</v>
      </c>
      <c r="M21" s="146">
        <f>M20*N13</f>
        <v>7302504.6005355082</v>
      </c>
      <c r="N21" s="15"/>
      <c r="O21" s="15"/>
      <c r="P21" s="15"/>
    </row>
    <row r="22" spans="1:16" ht="17" thickBo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x14ac:dyDescent="0.2">
      <c r="A23" s="15"/>
      <c r="B23" s="162" t="s">
        <v>121</v>
      </c>
      <c r="C23" s="170"/>
      <c r="D23" s="15"/>
      <c r="E23" s="15"/>
      <c r="F23" s="15"/>
      <c r="G23" s="162" t="s">
        <v>121</v>
      </c>
      <c r="H23" s="170"/>
      <c r="I23" s="15"/>
      <c r="J23" s="15"/>
      <c r="K23" s="15"/>
      <c r="L23" s="162" t="s">
        <v>121</v>
      </c>
      <c r="M23" s="170"/>
      <c r="N23" s="15"/>
      <c r="O23" s="15"/>
      <c r="P23" s="15"/>
    </row>
    <row r="24" spans="1:16" x14ac:dyDescent="0.2">
      <c r="A24" s="15"/>
      <c r="B24" s="37" t="s">
        <v>116</v>
      </c>
      <c r="C24" s="135">
        <f>E14</f>
        <v>1591221.5235337887</v>
      </c>
      <c r="D24" s="15"/>
      <c r="E24" s="15"/>
      <c r="F24" s="15"/>
      <c r="G24" s="37" t="s">
        <v>116</v>
      </c>
      <c r="H24" s="135">
        <f>J14</f>
        <v>1548782.3940833579</v>
      </c>
      <c r="I24" s="15"/>
      <c r="J24" s="15"/>
      <c r="K24" s="15"/>
      <c r="L24" s="37" t="s">
        <v>116</v>
      </c>
      <c r="M24" s="135">
        <f>O14</f>
        <v>1635512.3943902708</v>
      </c>
      <c r="N24" s="15"/>
      <c r="O24" s="15"/>
      <c r="P24" s="15"/>
    </row>
    <row r="25" spans="1:16" ht="17" thickBot="1" x14ac:dyDescent="0.25">
      <c r="A25" s="15"/>
      <c r="B25" s="38" t="s">
        <v>115</v>
      </c>
      <c r="C25" s="136">
        <f>C21</f>
        <v>5203713.4520073887</v>
      </c>
      <c r="D25" s="15"/>
      <c r="E25" s="15"/>
      <c r="F25" s="15"/>
      <c r="G25" s="38" t="s">
        <v>115</v>
      </c>
      <c r="H25" s="136">
        <f>H21</f>
        <v>3956924.4842061051</v>
      </c>
      <c r="I25" s="15"/>
      <c r="J25" s="15"/>
      <c r="K25" s="15"/>
      <c r="L25" s="38" t="s">
        <v>115</v>
      </c>
      <c r="M25" s="136">
        <f>M21</f>
        <v>7302504.6005355082</v>
      </c>
      <c r="N25" s="15"/>
      <c r="O25" s="15"/>
      <c r="P25" s="15"/>
    </row>
    <row r="26" spans="1:16" ht="17" thickTop="1" x14ac:dyDescent="0.2">
      <c r="A26" s="15"/>
      <c r="B26" s="52" t="s">
        <v>107</v>
      </c>
      <c r="C26" s="147">
        <f>SUM(C24:C25)</f>
        <v>6794934.9755411772</v>
      </c>
      <c r="D26" s="15"/>
      <c r="E26" s="15"/>
      <c r="F26" s="15"/>
      <c r="G26" s="52" t="s">
        <v>107</v>
      </c>
      <c r="H26" s="147">
        <f>SUM(H24:H25)</f>
        <v>5505706.878289463</v>
      </c>
      <c r="I26" s="15"/>
      <c r="J26" s="15"/>
      <c r="K26" s="15"/>
      <c r="L26" s="52" t="s">
        <v>107</v>
      </c>
      <c r="M26" s="147">
        <f>SUM(M24:M25)</f>
        <v>8938016.9949257784</v>
      </c>
      <c r="N26" s="15"/>
      <c r="O26" s="15"/>
      <c r="P26" s="15"/>
    </row>
    <row r="27" spans="1:16" x14ac:dyDescent="0.2">
      <c r="A27" s="15"/>
      <c r="B27" s="98"/>
      <c r="C27" s="100"/>
      <c r="D27" s="15"/>
      <c r="E27" s="15"/>
      <c r="F27" s="15"/>
      <c r="G27" s="98"/>
      <c r="H27" s="100"/>
      <c r="I27" s="15"/>
      <c r="J27" s="15"/>
      <c r="K27" s="15"/>
      <c r="L27" s="98"/>
      <c r="M27" s="100"/>
      <c r="N27" s="15"/>
      <c r="O27" s="15"/>
      <c r="P27" s="15"/>
    </row>
    <row r="28" spans="1:16" x14ac:dyDescent="0.2">
      <c r="A28" s="15"/>
      <c r="B28" s="37" t="s">
        <v>122</v>
      </c>
      <c r="C28" s="28">
        <f>'Balance Sheet'!D14+'Balance Sheet'!D17</f>
        <v>1225566</v>
      </c>
      <c r="D28" s="15"/>
      <c r="E28" s="15"/>
      <c r="F28" s="15"/>
      <c r="G28" s="37" t="s">
        <v>122</v>
      </c>
      <c r="H28" s="28">
        <f>'Balance Sheet'!D14+'Balance Sheet'!D17</f>
        <v>1225566</v>
      </c>
      <c r="I28" s="15"/>
      <c r="J28" s="15"/>
      <c r="K28" s="15"/>
      <c r="L28" s="37" t="s">
        <v>122</v>
      </c>
      <c r="M28" s="28">
        <f>'Balance Sheet'!D14+'Balance Sheet'!D17</f>
        <v>1225566</v>
      </c>
      <c r="N28" s="15"/>
      <c r="O28" s="15"/>
      <c r="P28" s="15"/>
    </row>
    <row r="29" spans="1:16" x14ac:dyDescent="0.2">
      <c r="A29" s="15"/>
      <c r="B29" s="38" t="s">
        <v>123</v>
      </c>
      <c r="C29" s="29">
        <f>'Balance Sheet'!D4+'Balance Sheet'!D5</f>
        <v>696030</v>
      </c>
      <c r="D29" s="15"/>
      <c r="E29" s="15"/>
      <c r="F29" s="15"/>
      <c r="G29" s="38" t="s">
        <v>123</v>
      </c>
      <c r="H29" s="29">
        <f>'Balance Sheet'!D4+'Balance Sheet'!D5</f>
        <v>696030</v>
      </c>
      <c r="I29" s="15"/>
      <c r="J29" s="15"/>
      <c r="K29" s="15"/>
      <c r="L29" s="38" t="s">
        <v>123</v>
      </c>
      <c r="M29" s="29">
        <f>'Balance Sheet'!D5+'Balance Sheet'!D4</f>
        <v>696030</v>
      </c>
      <c r="N29" s="15"/>
      <c r="O29" s="15"/>
      <c r="P29" s="15"/>
    </row>
    <row r="30" spans="1:16" x14ac:dyDescent="0.2">
      <c r="A30" s="15"/>
      <c r="B30" s="98"/>
      <c r="C30" s="100"/>
      <c r="D30" s="15"/>
      <c r="E30" s="15"/>
      <c r="F30" s="15"/>
      <c r="G30" s="98"/>
      <c r="H30" s="100"/>
      <c r="I30" s="15"/>
      <c r="J30" s="15"/>
      <c r="K30" s="15"/>
      <c r="L30" s="98"/>
      <c r="M30" s="100"/>
      <c r="N30" s="15"/>
      <c r="O30" s="15"/>
      <c r="P30" s="15"/>
    </row>
    <row r="31" spans="1:16" x14ac:dyDescent="0.2">
      <c r="A31" s="15"/>
      <c r="B31" s="143" t="s">
        <v>108</v>
      </c>
      <c r="C31" s="144">
        <f>C26-C28+C29</f>
        <v>6265398.9755411772</v>
      </c>
      <c r="D31" s="15"/>
      <c r="E31" s="15"/>
      <c r="F31" s="15"/>
      <c r="G31" s="143" t="s">
        <v>108</v>
      </c>
      <c r="H31" s="144">
        <f>H26-H28+H29</f>
        <v>4976170.878289463</v>
      </c>
      <c r="I31" s="15"/>
      <c r="J31" s="15"/>
      <c r="K31" s="15"/>
      <c r="L31" s="143" t="s">
        <v>108</v>
      </c>
      <c r="M31" s="144">
        <f>M26-M28+M29</f>
        <v>8408480.9949257784</v>
      </c>
      <c r="N31" s="15"/>
      <c r="O31" s="15"/>
      <c r="P31" s="15"/>
    </row>
    <row r="32" spans="1:16" ht="17" thickBot="1" x14ac:dyDescent="0.25">
      <c r="A32" s="15"/>
      <c r="B32" s="38" t="s">
        <v>118</v>
      </c>
      <c r="C32" s="63">
        <f>'Balance Sheet'!C22</f>
        <v>89698222</v>
      </c>
      <c r="D32" s="15"/>
      <c r="E32" s="15"/>
      <c r="F32" s="15"/>
      <c r="G32" s="38" t="s">
        <v>118</v>
      </c>
      <c r="H32" s="63">
        <f>'Balance Sheet'!C22</f>
        <v>89698222</v>
      </c>
      <c r="I32" s="15"/>
      <c r="J32" s="15"/>
      <c r="K32" s="15"/>
      <c r="L32" s="38" t="s">
        <v>118</v>
      </c>
      <c r="M32" s="63">
        <f>'Balance Sheet'!C22</f>
        <v>89698222</v>
      </c>
      <c r="N32" s="15"/>
      <c r="O32" s="15"/>
      <c r="P32" s="15"/>
    </row>
    <row r="33" spans="1:16" ht="18" thickTop="1" thickBot="1" x14ac:dyDescent="0.25">
      <c r="A33" s="15"/>
      <c r="B33" s="148" t="s">
        <v>119</v>
      </c>
      <c r="C33" s="149">
        <f>(C31*1000)/C32</f>
        <v>69.849756615478697</v>
      </c>
      <c r="D33" s="15"/>
      <c r="E33" s="15"/>
      <c r="F33" s="15"/>
      <c r="G33" s="148" t="s">
        <v>119</v>
      </c>
      <c r="H33" s="149">
        <f>(H31*1000)/H32</f>
        <v>55.476806199006518</v>
      </c>
      <c r="I33" s="15"/>
      <c r="J33" s="15"/>
      <c r="K33" s="15"/>
      <c r="L33" s="148" t="s">
        <v>119</v>
      </c>
      <c r="M33" s="149">
        <f>(M31*1000)/M32</f>
        <v>93.74189150511566</v>
      </c>
      <c r="N33" s="15"/>
      <c r="O33" s="15"/>
      <c r="P33" s="15"/>
    </row>
    <row r="34" spans="1:16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ht="17" thickBo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24" customHeight="1" x14ac:dyDescent="0.2">
      <c r="A37" s="15"/>
      <c r="B37" s="34" t="s">
        <v>128</v>
      </c>
      <c r="C37" s="35" t="s">
        <v>103</v>
      </c>
      <c r="D37" s="35" t="s">
        <v>104</v>
      </c>
      <c r="E37" s="36" t="s">
        <v>105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x14ac:dyDescent="0.2">
      <c r="A38" s="15"/>
      <c r="B38" s="37" t="s">
        <v>107</v>
      </c>
      <c r="C38" s="132">
        <f>H26</f>
        <v>5505706.878289463</v>
      </c>
      <c r="D38" s="132">
        <f>C26</f>
        <v>6794934.9755411772</v>
      </c>
      <c r="E38" s="135">
        <f>M26</f>
        <v>8938016.9949257784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17" thickBot="1" x14ac:dyDescent="0.25">
      <c r="A39" s="15"/>
      <c r="B39" s="38" t="s">
        <v>108</v>
      </c>
      <c r="C39" s="134">
        <f>H31</f>
        <v>4976170.878289463</v>
      </c>
      <c r="D39" s="134">
        <f>C31</f>
        <v>6265398.9755411772</v>
      </c>
      <c r="E39" s="136">
        <f>M31</f>
        <v>8408480.9949257784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8" thickTop="1" thickBot="1" x14ac:dyDescent="0.25">
      <c r="A40" s="15"/>
      <c r="B40" s="150" t="s">
        <v>119</v>
      </c>
      <c r="C40" s="151">
        <f>H33</f>
        <v>55.476806199006518</v>
      </c>
      <c r="D40" s="152">
        <f>C33</f>
        <v>69.849756615478697</v>
      </c>
      <c r="E40" s="153">
        <f>M33</f>
        <v>93.74189150511566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x14ac:dyDescent="0.2">
      <c r="A41" s="15"/>
      <c r="C41" s="15"/>
      <c r="D41" s="48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</sheetData>
  <mergeCells count="10">
    <mergeCell ref="B2:O2"/>
    <mergeCell ref="B7:E7"/>
    <mergeCell ref="B16:C16"/>
    <mergeCell ref="B23:C23"/>
    <mergeCell ref="G7:J7"/>
    <mergeCell ref="G16:H16"/>
    <mergeCell ref="G23:H23"/>
    <mergeCell ref="L7:O7"/>
    <mergeCell ref="L16:M16"/>
    <mergeCell ref="L23:M23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C7C3-4171-4B4D-A967-DCB8C560F861}">
  <sheetPr>
    <tabColor rgb="FF1F3864"/>
  </sheetPr>
  <dimension ref="A1:H30"/>
  <sheetViews>
    <sheetView zoomScale="120" zoomScaleNormal="120" workbookViewId="0">
      <selection activeCell="B6" sqref="B6:F6"/>
    </sheetView>
  </sheetViews>
  <sheetFormatPr baseColWidth="10" defaultRowHeight="16" x14ac:dyDescent="0.2"/>
  <cols>
    <col min="1" max="1" width="3" customWidth="1"/>
    <col min="2" max="6" width="33.332031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30" customHeight="1" x14ac:dyDescent="0.3">
      <c r="A2" s="15"/>
      <c r="B2" s="173" t="s">
        <v>129</v>
      </c>
      <c r="C2" s="174"/>
      <c r="D2" s="174"/>
      <c r="E2" s="174"/>
      <c r="F2" s="174"/>
      <c r="G2" s="15"/>
      <c r="H2" s="15"/>
    </row>
    <row r="3" spans="1:8" x14ac:dyDescent="0.2">
      <c r="A3" s="15"/>
      <c r="B3" s="15"/>
      <c r="C3" s="47"/>
      <c r="D3" s="47"/>
      <c r="E3" s="47"/>
      <c r="F3" s="15"/>
      <c r="G3" s="15"/>
      <c r="H3" s="15"/>
    </row>
    <row r="4" spans="1:8" ht="17" thickBot="1" x14ac:dyDescent="0.25">
      <c r="A4" s="15"/>
      <c r="B4" s="15"/>
      <c r="C4" s="47"/>
      <c r="D4" s="47"/>
      <c r="E4" s="47"/>
      <c r="F4" s="15"/>
      <c r="G4" s="15"/>
      <c r="H4" s="15"/>
    </row>
    <row r="5" spans="1:8" ht="24" customHeight="1" x14ac:dyDescent="0.25">
      <c r="A5" s="15"/>
      <c r="B5" s="159" t="s">
        <v>130</v>
      </c>
      <c r="C5" s="160"/>
      <c r="D5" s="160"/>
      <c r="E5" s="160"/>
      <c r="F5" s="161"/>
      <c r="G5" s="15"/>
      <c r="H5" s="15"/>
    </row>
    <row r="6" spans="1:8" ht="289" customHeight="1" thickBot="1" x14ac:dyDescent="0.25">
      <c r="A6" s="15"/>
      <c r="B6" s="175" t="s">
        <v>147</v>
      </c>
      <c r="C6" s="176"/>
      <c r="D6" s="176"/>
      <c r="E6" s="176"/>
      <c r="F6" s="177"/>
      <c r="G6" s="15"/>
      <c r="H6" s="15"/>
    </row>
    <row r="7" spans="1:8" ht="17" customHeight="1" x14ac:dyDescent="0.2">
      <c r="A7" s="15"/>
      <c r="B7" s="15"/>
      <c r="C7" s="47"/>
      <c r="D7" s="47"/>
      <c r="E7" s="47"/>
      <c r="F7" s="15"/>
      <c r="G7" s="15"/>
      <c r="H7" s="15"/>
    </row>
    <row r="8" spans="1:8" ht="17" customHeight="1" x14ac:dyDescent="0.2">
      <c r="A8" s="15"/>
      <c r="B8" s="15"/>
      <c r="C8" s="47"/>
      <c r="D8" s="47"/>
      <c r="E8" s="47"/>
      <c r="F8" s="15"/>
      <c r="G8" s="15"/>
      <c r="H8" s="15"/>
    </row>
    <row r="9" spans="1:8" ht="17" customHeight="1" x14ac:dyDescent="0.2">
      <c r="A9" s="15"/>
      <c r="B9" s="15"/>
      <c r="C9" s="47"/>
      <c r="D9" s="47"/>
      <c r="E9" s="47"/>
      <c r="F9" s="15"/>
      <c r="G9" s="15"/>
      <c r="H9" s="15"/>
    </row>
    <row r="10" spans="1:8" ht="17" customHeight="1" x14ac:dyDescent="0.2">
      <c r="A10" s="15"/>
      <c r="B10" s="15"/>
      <c r="C10" s="15"/>
      <c r="D10" s="15"/>
      <c r="E10" s="15"/>
      <c r="F10" s="15"/>
      <c r="G10" s="15"/>
      <c r="H10" s="15"/>
    </row>
    <row r="11" spans="1:8" ht="17" customHeight="1" x14ac:dyDescent="0.2">
      <c r="A11" s="15"/>
      <c r="B11" s="15"/>
      <c r="C11" s="15"/>
      <c r="D11" s="15"/>
      <c r="E11" s="15"/>
      <c r="F11" s="15"/>
      <c r="G11" s="15"/>
      <c r="H11" s="15"/>
    </row>
    <row r="12" spans="1:8" ht="17" customHeight="1" x14ac:dyDescent="0.2">
      <c r="A12" s="15"/>
      <c r="B12" s="15"/>
      <c r="C12" s="49"/>
      <c r="D12" s="49"/>
      <c r="E12" s="15"/>
      <c r="F12" s="15"/>
      <c r="G12" s="15"/>
      <c r="H12" s="15"/>
    </row>
    <row r="13" spans="1:8" ht="17" customHeight="1" x14ac:dyDescent="0.2">
      <c r="A13" s="15"/>
      <c r="B13" s="15"/>
      <c r="C13" s="49"/>
      <c r="D13" s="49"/>
      <c r="E13" s="15"/>
      <c r="F13" s="15"/>
      <c r="G13" s="15"/>
      <c r="H13" s="15"/>
    </row>
    <row r="14" spans="1:8" ht="17" customHeight="1" x14ac:dyDescent="0.2">
      <c r="A14" s="15"/>
      <c r="B14" s="15"/>
      <c r="C14" s="49"/>
      <c r="D14" s="49"/>
      <c r="E14" s="15"/>
      <c r="F14" s="15"/>
      <c r="G14" s="15"/>
      <c r="H14" s="15"/>
    </row>
    <row r="15" spans="1:8" ht="17" customHeight="1" x14ac:dyDescent="0.2">
      <c r="A15" s="15"/>
      <c r="B15" s="15"/>
      <c r="C15" s="49"/>
      <c r="D15" s="49"/>
      <c r="E15" s="15"/>
      <c r="F15" s="15"/>
      <c r="G15" s="15"/>
      <c r="H15" s="15"/>
    </row>
    <row r="16" spans="1:8" x14ac:dyDescent="0.2">
      <c r="A16" s="15"/>
      <c r="B16" s="15"/>
      <c r="C16" s="15"/>
      <c r="D16" s="15"/>
      <c r="E16" s="15"/>
      <c r="F16" s="15"/>
      <c r="G16" s="15"/>
      <c r="H16" s="15"/>
    </row>
    <row r="17" spans="1:8" x14ac:dyDescent="0.2">
      <c r="A17" s="15"/>
      <c r="B17" s="15"/>
      <c r="C17" s="15"/>
      <c r="D17" s="15"/>
      <c r="E17" s="15"/>
      <c r="F17" s="15"/>
      <c r="G17" s="15"/>
      <c r="H17" s="15"/>
    </row>
    <row r="18" spans="1:8" x14ac:dyDescent="0.2">
      <c r="A18" s="15"/>
      <c r="B18" s="15"/>
      <c r="C18" s="15"/>
      <c r="D18" s="15"/>
      <c r="E18" s="15"/>
      <c r="F18" s="15"/>
      <c r="G18" s="15"/>
      <c r="H18" s="15"/>
    </row>
    <row r="19" spans="1:8" x14ac:dyDescent="0.2">
      <c r="A19" s="15"/>
      <c r="B19" s="15"/>
      <c r="C19" s="15"/>
      <c r="D19" s="15"/>
      <c r="E19" s="15"/>
      <c r="F19" s="15"/>
      <c r="G19" s="15"/>
      <c r="H19" s="15"/>
    </row>
    <row r="20" spans="1:8" x14ac:dyDescent="0.2">
      <c r="A20" s="15"/>
      <c r="B20" s="15"/>
      <c r="C20" s="15"/>
      <c r="D20" s="15"/>
      <c r="E20" s="15"/>
      <c r="F20" s="15"/>
      <c r="G20" s="15"/>
      <c r="H20" s="15"/>
    </row>
    <row r="21" spans="1:8" x14ac:dyDescent="0.2">
      <c r="A21" s="15"/>
      <c r="B21" s="15"/>
      <c r="C21" s="15"/>
      <c r="D21" s="15"/>
      <c r="E21" s="15"/>
      <c r="F21" s="15"/>
      <c r="G21" s="15"/>
      <c r="H21" s="15"/>
    </row>
    <row r="22" spans="1:8" x14ac:dyDescent="0.2">
      <c r="A22" s="15"/>
      <c r="B22" s="15"/>
      <c r="C22" s="15"/>
      <c r="D22" s="15"/>
      <c r="E22" s="15"/>
      <c r="F22" s="15"/>
      <c r="G22" s="15"/>
      <c r="H22" s="15"/>
    </row>
    <row r="23" spans="1:8" x14ac:dyDescent="0.2">
      <c r="A23" s="15"/>
      <c r="B23" s="15"/>
      <c r="C23" s="15"/>
      <c r="D23" s="15"/>
      <c r="E23" s="15"/>
      <c r="F23" s="15"/>
      <c r="G23" s="15"/>
      <c r="H23" s="15"/>
    </row>
    <row r="24" spans="1:8" x14ac:dyDescent="0.2">
      <c r="A24" s="15"/>
      <c r="B24" s="15"/>
      <c r="C24" s="15"/>
      <c r="D24" s="15"/>
      <c r="E24" s="15"/>
      <c r="F24" s="15"/>
      <c r="G24" s="15"/>
      <c r="H24" s="15"/>
    </row>
    <row r="25" spans="1:8" x14ac:dyDescent="0.2">
      <c r="A25" s="15"/>
      <c r="B25" s="15"/>
      <c r="C25" s="15"/>
      <c r="D25" s="15"/>
      <c r="E25" s="15"/>
      <c r="F25" s="15"/>
      <c r="G25" s="15"/>
      <c r="H25" s="15"/>
    </row>
    <row r="26" spans="1:8" x14ac:dyDescent="0.2">
      <c r="A26" s="15"/>
      <c r="B26" s="15"/>
      <c r="C26" s="15"/>
      <c r="D26" s="15"/>
      <c r="E26" s="15"/>
      <c r="F26" s="15"/>
      <c r="G26" s="15"/>
      <c r="H26" s="15"/>
    </row>
    <row r="27" spans="1:8" x14ac:dyDescent="0.2">
      <c r="A27" s="15"/>
      <c r="B27" s="15"/>
      <c r="C27" s="15"/>
      <c r="D27" s="15"/>
      <c r="E27" s="15"/>
      <c r="F27" s="15"/>
      <c r="G27" s="15"/>
      <c r="H27" s="15"/>
    </row>
    <row r="28" spans="1:8" x14ac:dyDescent="0.2">
      <c r="A28" s="15"/>
      <c r="B28" s="15"/>
      <c r="C28" s="15"/>
      <c r="D28" s="15"/>
      <c r="E28" s="15"/>
      <c r="F28" s="15"/>
      <c r="G28" s="15"/>
      <c r="H28" s="15"/>
    </row>
    <row r="29" spans="1:8" x14ac:dyDescent="0.2">
      <c r="A29" s="15"/>
      <c r="B29" s="15"/>
      <c r="C29" s="15"/>
      <c r="D29" s="15"/>
      <c r="E29" s="15"/>
      <c r="F29" s="15"/>
      <c r="G29" s="15"/>
      <c r="H29" s="15"/>
    </row>
    <row r="30" spans="1:8" x14ac:dyDescent="0.2">
      <c r="A30" s="15"/>
      <c r="B30" s="15"/>
      <c r="C30" s="15"/>
      <c r="D30" s="15"/>
      <c r="E30" s="15"/>
      <c r="F30" s="15"/>
      <c r="G30" s="15"/>
      <c r="H30" s="15"/>
    </row>
  </sheetData>
  <mergeCells count="3">
    <mergeCell ref="B2:F2"/>
    <mergeCell ref="B5:F5"/>
    <mergeCell ref="B6:F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1926-70CB-1A49-9ED9-5F2ADA28673A}">
  <sheetPr>
    <tabColor rgb="FF1F3864"/>
  </sheetPr>
  <dimension ref="A1:G26"/>
  <sheetViews>
    <sheetView zoomScale="120" zoomScaleNormal="120" workbookViewId="0">
      <pane ySplit="3" topLeftCell="A4" activePane="bottomLeft" state="frozen"/>
      <selection pane="bottomLeft" activeCell="B13" sqref="B13"/>
    </sheetView>
  </sheetViews>
  <sheetFormatPr baseColWidth="10" defaultRowHeight="16" x14ac:dyDescent="0.2"/>
  <cols>
    <col min="1" max="1" width="2.33203125" customWidth="1"/>
    <col min="2" max="2" width="33.33203125" customWidth="1"/>
    <col min="3" max="5" width="18.33203125" customWidth="1"/>
  </cols>
  <sheetData>
    <row r="1" spans="1:7" ht="30" customHeight="1" x14ac:dyDescent="0.2">
      <c r="B1" s="156" t="s">
        <v>148</v>
      </c>
      <c r="C1" s="156"/>
      <c r="D1" s="156"/>
      <c r="E1" s="156"/>
    </row>
    <row r="2" spans="1:7" ht="22" customHeight="1" x14ac:dyDescent="0.2">
      <c r="A2" s="15"/>
      <c r="B2" s="157" t="s">
        <v>149</v>
      </c>
      <c r="C2" s="157"/>
      <c r="D2" s="157"/>
      <c r="E2" s="157"/>
      <c r="F2" s="15"/>
      <c r="G2" s="15"/>
    </row>
    <row r="3" spans="1:7" ht="24" customHeight="1" x14ac:dyDescent="0.2">
      <c r="A3" s="15"/>
      <c r="B3" s="23" t="s">
        <v>15</v>
      </c>
      <c r="C3" s="16" t="s">
        <v>1</v>
      </c>
      <c r="D3" s="16" t="s">
        <v>2</v>
      </c>
      <c r="E3" s="27" t="s">
        <v>3</v>
      </c>
      <c r="F3" s="15"/>
      <c r="G3" s="15"/>
    </row>
    <row r="4" spans="1:7" x14ac:dyDescent="0.2">
      <c r="A4" s="15"/>
      <c r="B4" s="24" t="s">
        <v>14</v>
      </c>
      <c r="C4" s="17">
        <v>5153237</v>
      </c>
      <c r="D4" s="17">
        <v>5550666</v>
      </c>
      <c r="E4" s="28">
        <v>6165376</v>
      </c>
      <c r="F4" s="15"/>
      <c r="G4" s="15"/>
    </row>
    <row r="5" spans="1:7" x14ac:dyDescent="0.2">
      <c r="A5" s="15"/>
      <c r="B5" s="25" t="s">
        <v>4</v>
      </c>
      <c r="C5" s="20">
        <v>3425958</v>
      </c>
      <c r="D5" s="20">
        <v>3619395</v>
      </c>
      <c r="E5" s="29">
        <v>3945634</v>
      </c>
      <c r="F5" s="15"/>
      <c r="G5" s="15"/>
    </row>
    <row r="6" spans="1:7" x14ac:dyDescent="0.2">
      <c r="A6" s="15"/>
      <c r="B6" s="26" t="s">
        <v>5</v>
      </c>
      <c r="C6" s="18">
        <v>1715404</v>
      </c>
      <c r="D6" s="18">
        <v>1926670</v>
      </c>
      <c r="E6" s="30">
        <v>2217753</v>
      </c>
      <c r="F6" s="15"/>
      <c r="G6" s="15"/>
    </row>
    <row r="7" spans="1:7" x14ac:dyDescent="0.2">
      <c r="A7" s="15"/>
      <c r="B7" s="25" t="s">
        <v>6</v>
      </c>
      <c r="C7" s="20">
        <v>1339205</v>
      </c>
      <c r="D7" s="20">
        <v>1452906</v>
      </c>
      <c r="E7" s="29">
        <v>1612119</v>
      </c>
      <c r="F7" s="15"/>
      <c r="G7" s="15"/>
    </row>
    <row r="8" spans="1:7" x14ac:dyDescent="0.2">
      <c r="A8" s="15"/>
      <c r="B8" s="26" t="s">
        <v>7</v>
      </c>
      <c r="C8" s="18">
        <v>369795</v>
      </c>
      <c r="D8" s="18">
        <v>473764</v>
      </c>
      <c r="E8" s="30">
        <v>605634</v>
      </c>
      <c r="F8" s="15"/>
      <c r="G8" s="15"/>
    </row>
    <row r="9" spans="1:7" ht="17" thickBot="1" x14ac:dyDescent="0.25">
      <c r="A9" s="15"/>
      <c r="B9" s="26" t="s">
        <v>8</v>
      </c>
      <c r="C9" s="18">
        <v>381607</v>
      </c>
      <c r="D9" s="18">
        <v>500172</v>
      </c>
      <c r="E9" s="30">
        <v>596897</v>
      </c>
      <c r="F9" s="15"/>
      <c r="G9" s="15"/>
    </row>
    <row r="10" spans="1:7" ht="18" thickTop="1" thickBot="1" x14ac:dyDescent="0.25">
      <c r="A10" s="15"/>
      <c r="B10" s="31" t="s">
        <v>9</v>
      </c>
      <c r="C10" s="32">
        <v>287674</v>
      </c>
      <c r="D10" s="32">
        <v>402462</v>
      </c>
      <c r="E10" s="33">
        <v>464919</v>
      </c>
      <c r="F10" s="15"/>
      <c r="G10" s="15"/>
    </row>
    <row r="11" spans="1:7" ht="17" thickBot="1" x14ac:dyDescent="0.25">
      <c r="A11" s="15"/>
      <c r="B11" s="15"/>
      <c r="C11" s="15"/>
      <c r="D11" s="15"/>
      <c r="E11" s="15"/>
      <c r="F11" s="15"/>
      <c r="G11" s="15"/>
    </row>
    <row r="12" spans="1:7" ht="22" customHeight="1" x14ac:dyDescent="0.2">
      <c r="A12" s="15"/>
      <c r="B12" s="44" t="s">
        <v>10</v>
      </c>
      <c r="C12" s="45" t="s">
        <v>2</v>
      </c>
      <c r="D12" s="46" t="s">
        <v>3</v>
      </c>
      <c r="E12" s="15"/>
      <c r="F12" s="15"/>
      <c r="G12" s="15"/>
    </row>
    <row r="13" spans="1:7" x14ac:dyDescent="0.2">
      <c r="A13" s="15"/>
      <c r="B13" s="37" t="s">
        <v>33</v>
      </c>
      <c r="C13" s="21">
        <f>D4/C4-1</f>
        <v>7.7122204936431293E-2</v>
      </c>
      <c r="D13" s="39">
        <f>E4/D4-1</f>
        <v>0.11074526912626337</v>
      </c>
      <c r="E13" s="15"/>
      <c r="F13" s="15"/>
      <c r="G13" s="15"/>
    </row>
    <row r="14" spans="1:7" x14ac:dyDescent="0.2">
      <c r="A14" s="15"/>
      <c r="B14" s="38" t="s">
        <v>12</v>
      </c>
      <c r="C14" s="22">
        <f>D6/D4</f>
        <v>0.34710609501634576</v>
      </c>
      <c r="D14" s="40">
        <f>E6/E4</f>
        <v>0.35971090814250423</v>
      </c>
      <c r="E14" s="15"/>
      <c r="F14" s="15"/>
      <c r="G14" s="15"/>
    </row>
    <row r="15" spans="1:7" x14ac:dyDescent="0.2">
      <c r="A15" s="15"/>
      <c r="B15" s="37" t="s">
        <v>13</v>
      </c>
      <c r="C15" s="21">
        <f>D8/D4</f>
        <v>8.5352640566014965E-2</v>
      </c>
      <c r="D15" s="39">
        <f>E8/E4</f>
        <v>9.8231478501878883E-2</v>
      </c>
      <c r="E15" s="15"/>
      <c r="F15" s="15"/>
      <c r="G15" s="15"/>
    </row>
    <row r="16" spans="1:7" x14ac:dyDescent="0.2">
      <c r="A16" s="15"/>
      <c r="B16" s="38" t="s">
        <v>34</v>
      </c>
      <c r="C16" s="22">
        <f>D10/D4</f>
        <v>7.2506974838695032E-2</v>
      </c>
      <c r="D16" s="40">
        <f>E10/E4</f>
        <v>7.5408052971951745E-2</v>
      </c>
      <c r="E16" s="15"/>
      <c r="F16" s="15"/>
      <c r="G16" s="15"/>
    </row>
    <row r="17" spans="1:7" ht="17" thickBot="1" x14ac:dyDescent="0.25">
      <c r="A17" s="15"/>
      <c r="B17" s="41" t="s">
        <v>35</v>
      </c>
      <c r="C17" s="42">
        <f>D10/C10-1</f>
        <v>0.39902111417785413</v>
      </c>
      <c r="D17" s="43">
        <f>E10/D10-1</f>
        <v>0.15518732203288765</v>
      </c>
      <c r="E17" s="15"/>
      <c r="F17" s="15"/>
      <c r="G17" s="15"/>
    </row>
    <row r="18" spans="1:7" x14ac:dyDescent="0.2">
      <c r="A18" s="15"/>
      <c r="B18" s="15"/>
      <c r="C18" s="15"/>
      <c r="D18" s="15"/>
      <c r="E18" s="15"/>
      <c r="F18" s="15"/>
      <c r="G18" s="15"/>
    </row>
    <row r="19" spans="1:7" x14ac:dyDescent="0.2">
      <c r="A19" s="15"/>
      <c r="B19" s="15"/>
      <c r="C19" s="15"/>
      <c r="D19" s="15"/>
      <c r="E19" s="15"/>
      <c r="F19" s="15"/>
      <c r="G19" s="15"/>
    </row>
    <row r="20" spans="1:7" x14ac:dyDescent="0.2">
      <c r="A20" s="15"/>
      <c r="B20" s="15"/>
      <c r="C20" s="15"/>
      <c r="D20" s="15"/>
      <c r="E20" s="15"/>
      <c r="F20" s="15"/>
      <c r="G20" s="15"/>
    </row>
    <row r="21" spans="1:7" x14ac:dyDescent="0.2">
      <c r="A21" s="15"/>
      <c r="B21" s="15"/>
      <c r="C21" s="15"/>
      <c r="D21" s="15"/>
      <c r="E21" s="15"/>
      <c r="F21" s="15"/>
      <c r="G21" s="15"/>
    </row>
    <row r="22" spans="1:7" x14ac:dyDescent="0.2">
      <c r="A22" s="15"/>
      <c r="B22" s="15"/>
      <c r="C22" s="15"/>
      <c r="D22" s="15"/>
      <c r="E22" s="15"/>
      <c r="F22" s="15"/>
      <c r="G22" s="15"/>
    </row>
    <row r="23" spans="1:7" x14ac:dyDescent="0.2">
      <c r="A23" s="15"/>
      <c r="B23" s="15"/>
      <c r="C23" s="15"/>
      <c r="D23" s="15"/>
      <c r="E23" s="15"/>
      <c r="F23" s="15"/>
      <c r="G23" s="15"/>
    </row>
    <row r="24" spans="1:7" x14ac:dyDescent="0.2">
      <c r="A24" s="15"/>
      <c r="B24" s="15"/>
      <c r="C24" s="15"/>
      <c r="D24" s="15"/>
      <c r="E24" s="15"/>
      <c r="F24" s="15"/>
      <c r="G24" s="15"/>
    </row>
    <row r="25" spans="1:7" x14ac:dyDescent="0.2">
      <c r="A25" s="15"/>
      <c r="B25" s="15"/>
      <c r="C25" s="15"/>
      <c r="D25" s="15"/>
      <c r="E25" s="15"/>
      <c r="F25" s="15"/>
      <c r="G25" s="15"/>
    </row>
    <row r="26" spans="1:7" x14ac:dyDescent="0.2">
      <c r="A26" s="15"/>
      <c r="B26" s="15"/>
      <c r="C26" s="15"/>
      <c r="D26" s="15"/>
      <c r="E26" s="15"/>
      <c r="F26" s="15"/>
      <c r="G26" s="15"/>
    </row>
  </sheetData>
  <mergeCells count="2">
    <mergeCell ref="B1:E1"/>
    <mergeCell ref="B2:E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8BCF-1D66-954C-8548-2C9922EF1C3E}">
  <sheetPr>
    <tabColor rgb="FF1F3864"/>
  </sheetPr>
  <dimension ref="A1:F36"/>
  <sheetViews>
    <sheetView zoomScale="120" zoomScaleNormal="120" workbookViewId="0">
      <pane ySplit="3" topLeftCell="A4" activePane="bottomLeft" state="frozen"/>
      <selection pane="bottomLeft" activeCell="F21" sqref="F21"/>
    </sheetView>
  </sheetViews>
  <sheetFormatPr baseColWidth="10" defaultRowHeight="16" x14ac:dyDescent="0.2"/>
  <cols>
    <col min="1" max="1" width="2.33203125" customWidth="1"/>
    <col min="2" max="2" width="36.6640625" customWidth="1"/>
    <col min="3" max="4" width="21.6640625" customWidth="1"/>
  </cols>
  <sheetData>
    <row r="1" spans="1:6" ht="30" customHeight="1" x14ac:dyDescent="0.2">
      <c r="B1" s="156" t="s">
        <v>150</v>
      </c>
      <c r="C1" s="156"/>
      <c r="D1" s="156"/>
    </row>
    <row r="2" spans="1:6" ht="22" customHeight="1" x14ac:dyDescent="0.2">
      <c r="A2" s="15"/>
      <c r="B2" s="157" t="s">
        <v>149</v>
      </c>
      <c r="C2" s="157"/>
      <c r="D2" s="157"/>
      <c r="E2" s="15"/>
      <c r="F2" s="15"/>
    </row>
    <row r="3" spans="1:6" ht="24" customHeight="1" x14ac:dyDescent="0.2">
      <c r="A3" s="15"/>
      <c r="B3" s="23" t="s">
        <v>15</v>
      </c>
      <c r="C3" s="16" t="s">
        <v>2</v>
      </c>
      <c r="D3" s="27" t="s">
        <v>3</v>
      </c>
      <c r="E3" s="15"/>
      <c r="F3" s="15"/>
    </row>
    <row r="4" spans="1:6" x14ac:dyDescent="0.2">
      <c r="A4" s="15"/>
      <c r="B4" s="38" t="s">
        <v>16</v>
      </c>
      <c r="C4" s="20">
        <v>290481</v>
      </c>
      <c r="D4" s="29">
        <v>369306</v>
      </c>
      <c r="E4" s="15"/>
      <c r="F4" s="15"/>
    </row>
    <row r="5" spans="1:6" x14ac:dyDescent="0.2">
      <c r="A5" s="15"/>
      <c r="B5" s="37" t="s">
        <v>17</v>
      </c>
      <c r="C5" s="17">
        <v>319949</v>
      </c>
      <c r="D5" s="28">
        <v>326724</v>
      </c>
      <c r="E5" s="15"/>
      <c r="F5" s="15"/>
    </row>
    <row r="6" spans="1:6" x14ac:dyDescent="0.2">
      <c r="A6" s="15"/>
      <c r="B6" s="38" t="s">
        <v>18</v>
      </c>
      <c r="C6" s="20">
        <v>74014</v>
      </c>
      <c r="D6" s="29">
        <v>95668</v>
      </c>
      <c r="E6" s="15"/>
      <c r="F6" s="15"/>
    </row>
    <row r="7" spans="1:6" x14ac:dyDescent="0.2">
      <c r="A7" s="15"/>
      <c r="B7" s="37" t="s">
        <v>19</v>
      </c>
      <c r="C7" s="17">
        <v>621146</v>
      </c>
      <c r="D7" s="28">
        <v>700945</v>
      </c>
      <c r="E7" s="15"/>
      <c r="F7" s="15"/>
    </row>
    <row r="8" spans="1:6" x14ac:dyDescent="0.2">
      <c r="A8" s="15"/>
      <c r="B8" s="51" t="s">
        <v>20</v>
      </c>
      <c r="C8" s="18">
        <v>1492796</v>
      </c>
      <c r="D8" s="30">
        <v>1686104</v>
      </c>
      <c r="E8" s="15"/>
      <c r="F8" s="15"/>
    </row>
    <row r="9" spans="1:6" x14ac:dyDescent="0.2">
      <c r="A9" s="15"/>
      <c r="B9" s="37"/>
      <c r="C9" s="17"/>
      <c r="D9" s="28"/>
      <c r="E9" s="15"/>
      <c r="F9" s="15"/>
    </row>
    <row r="10" spans="1:6" ht="17" thickBot="1" x14ac:dyDescent="0.25">
      <c r="A10" s="15"/>
      <c r="B10" s="38" t="s">
        <v>28</v>
      </c>
      <c r="C10" s="20">
        <v>1331077</v>
      </c>
      <c r="D10" s="29">
        <v>1466236</v>
      </c>
      <c r="E10" s="15"/>
      <c r="F10" s="15"/>
    </row>
    <row r="11" spans="1:6" ht="17" thickTop="1" x14ac:dyDescent="0.2">
      <c r="A11" s="15"/>
      <c r="B11" s="52" t="s">
        <v>21</v>
      </c>
      <c r="C11" s="19">
        <v>4519480</v>
      </c>
      <c r="D11" s="53">
        <v>5007613</v>
      </c>
      <c r="E11" s="15"/>
      <c r="F11" s="15"/>
    </row>
    <row r="12" spans="1:6" x14ac:dyDescent="0.2">
      <c r="A12" s="15"/>
      <c r="B12" s="37"/>
      <c r="C12" s="17"/>
      <c r="D12" s="28"/>
      <c r="E12" s="15"/>
      <c r="F12" s="15"/>
    </row>
    <row r="13" spans="1:6" x14ac:dyDescent="0.2">
      <c r="A13" s="15"/>
      <c r="B13" s="38" t="s">
        <v>22</v>
      </c>
      <c r="C13" s="20">
        <v>295767</v>
      </c>
      <c r="D13" s="29">
        <v>327903</v>
      </c>
      <c r="E13" s="15"/>
      <c r="F13" s="15"/>
    </row>
    <row r="14" spans="1:6" x14ac:dyDescent="0.2">
      <c r="A14" s="15"/>
      <c r="B14" s="37" t="s">
        <v>117</v>
      </c>
      <c r="C14" s="17">
        <v>227149</v>
      </c>
      <c r="D14" s="28">
        <v>225478</v>
      </c>
      <c r="E14" s="15"/>
      <c r="F14" s="15"/>
    </row>
    <row r="15" spans="1:6" x14ac:dyDescent="0.2">
      <c r="A15" s="15"/>
      <c r="B15" s="51" t="s">
        <v>23</v>
      </c>
      <c r="C15" s="18">
        <v>1075679</v>
      </c>
      <c r="D15" s="30">
        <v>1118094</v>
      </c>
      <c r="E15" s="15"/>
      <c r="F15" s="15"/>
    </row>
    <row r="16" spans="1:6" x14ac:dyDescent="0.2">
      <c r="A16" s="15"/>
      <c r="B16" s="37"/>
      <c r="C16" s="17"/>
      <c r="D16" s="28"/>
      <c r="E16" s="15"/>
      <c r="F16" s="15"/>
    </row>
    <row r="17" spans="1:6" ht="17" thickBot="1" x14ac:dyDescent="0.25">
      <c r="A17" s="15"/>
      <c r="B17" s="38" t="s">
        <v>29</v>
      </c>
      <c r="C17" s="20">
        <v>871209</v>
      </c>
      <c r="D17" s="29">
        <v>1000088</v>
      </c>
      <c r="E17" s="15"/>
      <c r="F17" s="15"/>
    </row>
    <row r="18" spans="1:6" ht="17" thickTop="1" x14ac:dyDescent="0.2">
      <c r="A18" s="15"/>
      <c r="B18" s="52" t="s">
        <v>24</v>
      </c>
      <c r="C18" s="19">
        <v>2047976</v>
      </c>
      <c r="D18" s="53">
        <v>2192326</v>
      </c>
      <c r="E18" s="15"/>
      <c r="F18" s="15"/>
    </row>
    <row r="19" spans="1:6" ht="17" thickBot="1" x14ac:dyDescent="0.25">
      <c r="A19" s="15"/>
      <c r="B19" s="37"/>
      <c r="C19" s="17"/>
      <c r="D19" s="28"/>
      <c r="E19" s="15"/>
      <c r="F19" s="15"/>
    </row>
    <row r="20" spans="1:6" ht="17" thickTop="1" x14ac:dyDescent="0.2">
      <c r="A20" s="15"/>
      <c r="B20" s="52" t="s">
        <v>160</v>
      </c>
      <c r="C20" s="19">
        <v>2471504</v>
      </c>
      <c r="D20" s="53">
        <v>2815287</v>
      </c>
      <c r="E20" s="15"/>
      <c r="F20" s="15"/>
    </row>
    <row r="21" spans="1:6" x14ac:dyDescent="0.2">
      <c r="A21" s="15"/>
      <c r="B21" s="37"/>
      <c r="C21" s="17"/>
      <c r="D21" s="28"/>
      <c r="E21" s="15"/>
      <c r="F21" s="15"/>
    </row>
    <row r="22" spans="1:6" ht="17" thickBot="1" x14ac:dyDescent="0.25">
      <c r="A22" s="15"/>
      <c r="B22" s="54" t="s">
        <v>118</v>
      </c>
      <c r="C22" s="55">
        <v>89698222</v>
      </c>
      <c r="D22" s="56"/>
      <c r="E22" s="15"/>
      <c r="F22" s="15"/>
    </row>
    <row r="23" spans="1:6" ht="17" thickBot="1" x14ac:dyDescent="0.25">
      <c r="A23" s="15"/>
      <c r="B23" s="15"/>
      <c r="C23" s="15"/>
      <c r="D23" s="15"/>
      <c r="E23" s="15"/>
      <c r="F23" s="15"/>
    </row>
    <row r="24" spans="1:6" ht="22" customHeight="1" x14ac:dyDescent="0.2">
      <c r="A24" s="15"/>
      <c r="B24" s="44" t="s">
        <v>10</v>
      </c>
      <c r="C24" s="46" t="s">
        <v>3</v>
      </c>
      <c r="D24" s="1"/>
      <c r="E24" s="15"/>
      <c r="F24" s="15"/>
    </row>
    <row r="25" spans="1:6" x14ac:dyDescent="0.2">
      <c r="A25" s="15"/>
      <c r="B25" s="37" t="s">
        <v>31</v>
      </c>
      <c r="C25" s="59">
        <f>D8/D15</f>
        <v>1.5080163206313602</v>
      </c>
      <c r="D25" s="15"/>
      <c r="E25" s="15"/>
      <c r="F25" s="15"/>
    </row>
    <row r="26" spans="1:6" x14ac:dyDescent="0.2">
      <c r="A26" s="15"/>
      <c r="B26" s="38" t="s">
        <v>32</v>
      </c>
      <c r="C26" s="29">
        <f>D8-D15</f>
        <v>568010</v>
      </c>
      <c r="D26" s="15"/>
      <c r="E26" s="15"/>
      <c r="F26" s="15"/>
    </row>
    <row r="27" spans="1:6" x14ac:dyDescent="0.2">
      <c r="A27" s="15"/>
      <c r="B27" s="37" t="s">
        <v>25</v>
      </c>
      <c r="C27" s="60">
        <f>D7/C7-1</f>
        <v>0.12847060111471387</v>
      </c>
      <c r="D27" s="15"/>
      <c r="E27" s="15"/>
      <c r="F27" s="15"/>
    </row>
    <row r="28" spans="1:6" x14ac:dyDescent="0.2">
      <c r="A28" s="15"/>
      <c r="B28" s="38" t="s">
        <v>26</v>
      </c>
      <c r="C28" s="61">
        <f>D4/C4-1</f>
        <v>0.27136026108420164</v>
      </c>
      <c r="D28" s="15"/>
      <c r="E28" s="15"/>
      <c r="F28" s="15"/>
    </row>
    <row r="29" spans="1:6" x14ac:dyDescent="0.2">
      <c r="A29" s="15"/>
      <c r="B29" s="37" t="s">
        <v>27</v>
      </c>
      <c r="C29" s="60">
        <f>D20/C20-1</f>
        <v>0.13909870265231206</v>
      </c>
      <c r="D29" s="15"/>
      <c r="E29" s="15"/>
      <c r="F29" s="15"/>
    </row>
    <row r="30" spans="1:6" ht="17" thickBot="1" x14ac:dyDescent="0.25">
      <c r="A30" s="15"/>
      <c r="B30" s="54" t="s">
        <v>30</v>
      </c>
      <c r="C30" s="62">
        <f>D11/C11-1</f>
        <v>0.10800645206970705</v>
      </c>
      <c r="D30" s="15"/>
      <c r="E30" s="15"/>
      <c r="F30" s="15"/>
    </row>
    <row r="31" spans="1:6" x14ac:dyDescent="0.2">
      <c r="A31" s="15"/>
      <c r="B31" s="15"/>
      <c r="C31" s="15"/>
      <c r="D31" s="15"/>
      <c r="E31" s="15"/>
      <c r="F31" s="15"/>
    </row>
    <row r="32" spans="1:6" x14ac:dyDescent="0.2">
      <c r="A32" s="15"/>
      <c r="B32" s="15"/>
      <c r="C32" s="15"/>
      <c r="D32" s="15"/>
      <c r="E32" s="15"/>
      <c r="F32" s="15"/>
    </row>
    <row r="33" spans="1:6" x14ac:dyDescent="0.2">
      <c r="A33" s="15"/>
      <c r="B33" s="15"/>
      <c r="C33" s="15"/>
      <c r="D33" s="15"/>
      <c r="E33" s="15"/>
      <c r="F33" s="15"/>
    </row>
    <row r="34" spans="1:6" x14ac:dyDescent="0.2">
      <c r="A34" s="15"/>
      <c r="B34" s="15"/>
      <c r="C34" s="15"/>
      <c r="D34" s="15"/>
      <c r="E34" s="15"/>
      <c r="F34" s="15"/>
    </row>
    <row r="35" spans="1:6" x14ac:dyDescent="0.2">
      <c r="A35" s="15"/>
      <c r="B35" s="15"/>
      <c r="C35" s="15"/>
      <c r="D35" s="15"/>
      <c r="E35" s="15"/>
      <c r="F35" s="15"/>
    </row>
    <row r="36" spans="1:6" x14ac:dyDescent="0.2">
      <c r="A36" s="15"/>
      <c r="B36" s="15"/>
      <c r="C36" s="15"/>
      <c r="D36" s="15"/>
      <c r="E36" s="15"/>
      <c r="F36" s="15"/>
    </row>
  </sheetData>
  <mergeCells count="2">
    <mergeCell ref="B1:D1"/>
    <mergeCell ref="B2:D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F361-2A24-094F-AC6F-E0B0276E4B81}">
  <sheetPr>
    <tabColor rgb="FF1F3864"/>
  </sheetPr>
  <dimension ref="A1:G26"/>
  <sheetViews>
    <sheetView zoomScale="120" zoomScaleNormal="120" workbookViewId="0">
      <pane ySplit="3" topLeftCell="A4" activePane="bottomLeft" state="frozen"/>
      <selection pane="bottomLeft" activeCell="B14" sqref="B14"/>
    </sheetView>
  </sheetViews>
  <sheetFormatPr baseColWidth="10" defaultRowHeight="16" x14ac:dyDescent="0.2"/>
  <cols>
    <col min="1" max="1" width="2.33203125" customWidth="1"/>
    <col min="2" max="2" width="36.6640625" customWidth="1"/>
    <col min="3" max="5" width="18.33203125" customWidth="1"/>
  </cols>
  <sheetData>
    <row r="1" spans="1:7" ht="30" customHeight="1" x14ac:dyDescent="0.2">
      <c r="B1" s="156" t="s">
        <v>151</v>
      </c>
      <c r="C1" s="156"/>
      <c r="D1" s="156"/>
      <c r="E1" s="156"/>
    </row>
    <row r="2" spans="1:7" ht="22" customHeight="1" x14ac:dyDescent="0.2">
      <c r="A2" s="15"/>
      <c r="B2" s="157" t="s">
        <v>149</v>
      </c>
      <c r="C2" s="157"/>
      <c r="D2" s="157"/>
      <c r="E2" s="157"/>
      <c r="F2" s="15"/>
      <c r="G2" s="15"/>
    </row>
    <row r="3" spans="1:7" ht="24" customHeight="1" x14ac:dyDescent="0.2">
      <c r="A3" s="15"/>
      <c r="B3" s="23" t="s">
        <v>0</v>
      </c>
      <c r="C3" s="16" t="s">
        <v>1</v>
      </c>
      <c r="D3" s="16" t="s">
        <v>2</v>
      </c>
      <c r="E3" s="27" t="s">
        <v>3</v>
      </c>
      <c r="F3" s="15"/>
      <c r="G3" s="15"/>
    </row>
    <row r="4" spans="1:7" x14ac:dyDescent="0.2">
      <c r="A4" s="15"/>
      <c r="B4" s="38" t="s">
        <v>9</v>
      </c>
      <c r="C4" s="20">
        <v>287674</v>
      </c>
      <c r="D4" s="20">
        <v>402462</v>
      </c>
      <c r="E4" s="29">
        <v>464919</v>
      </c>
      <c r="F4" s="15"/>
      <c r="G4" s="15"/>
    </row>
    <row r="5" spans="1:7" x14ac:dyDescent="0.2">
      <c r="A5" s="15"/>
      <c r="B5" s="51" t="s">
        <v>36</v>
      </c>
      <c r="C5" s="18">
        <v>509411</v>
      </c>
      <c r="D5" s="18">
        <v>502834</v>
      </c>
      <c r="E5" s="30">
        <v>575190</v>
      </c>
      <c r="F5" s="15"/>
      <c r="G5" s="15"/>
    </row>
    <row r="6" spans="1:7" x14ac:dyDescent="0.2">
      <c r="A6" s="15"/>
      <c r="B6" s="38" t="s">
        <v>73</v>
      </c>
      <c r="C6" s="50">
        <v>102487</v>
      </c>
      <c r="D6" s="50">
        <v>115425</v>
      </c>
      <c r="E6" s="63">
        <v>128529</v>
      </c>
      <c r="F6" s="48"/>
      <c r="G6" s="15"/>
    </row>
    <row r="7" spans="1:7" x14ac:dyDescent="0.2">
      <c r="A7" s="15"/>
      <c r="B7" s="38" t="s">
        <v>37</v>
      </c>
      <c r="C7" s="20">
        <v>-199625</v>
      </c>
      <c r="D7" s="20">
        <v>-182581</v>
      </c>
      <c r="E7" s="29">
        <v>-260168</v>
      </c>
      <c r="F7" s="15"/>
      <c r="G7" s="15"/>
    </row>
    <row r="8" spans="1:7" x14ac:dyDescent="0.2">
      <c r="A8" s="15"/>
      <c r="B8" s="51" t="s">
        <v>38</v>
      </c>
      <c r="C8" s="18">
        <v>-521648</v>
      </c>
      <c r="D8" s="18">
        <v>-308769</v>
      </c>
      <c r="E8" s="30">
        <v>-311652</v>
      </c>
      <c r="F8" s="15"/>
      <c r="G8" s="15"/>
    </row>
    <row r="9" spans="1:7" ht="17" thickBot="1" x14ac:dyDescent="0.25">
      <c r="A9" s="15"/>
      <c r="B9" s="51" t="s">
        <v>39</v>
      </c>
      <c r="C9" s="18">
        <v>-12132</v>
      </c>
      <c r="D9" s="18">
        <v>-77114</v>
      </c>
      <c r="E9" s="30">
        <v>-191369</v>
      </c>
      <c r="F9" s="15"/>
      <c r="G9" s="15"/>
    </row>
    <row r="10" spans="1:7" ht="18" thickTop="1" thickBot="1" x14ac:dyDescent="0.25">
      <c r="A10" s="15"/>
      <c r="B10" s="52" t="s">
        <v>40</v>
      </c>
      <c r="C10" s="19">
        <v>-22939</v>
      </c>
      <c r="D10" s="19">
        <v>112160</v>
      </c>
      <c r="E10" s="53">
        <v>78725</v>
      </c>
      <c r="F10" s="15"/>
      <c r="G10" s="15"/>
    </row>
    <row r="11" spans="1:7" ht="18" thickTop="1" thickBot="1" x14ac:dyDescent="0.25">
      <c r="A11" s="15"/>
      <c r="B11" s="64" t="s">
        <v>41</v>
      </c>
      <c r="C11" s="32">
        <v>178321</v>
      </c>
      <c r="D11" s="32">
        <v>290481</v>
      </c>
      <c r="E11" s="33">
        <v>369206</v>
      </c>
      <c r="F11" s="15"/>
      <c r="G11" s="15"/>
    </row>
    <row r="12" spans="1:7" ht="17" thickBot="1" x14ac:dyDescent="0.25">
      <c r="A12" s="15"/>
      <c r="B12" s="15"/>
      <c r="C12" s="15"/>
      <c r="D12" s="15"/>
      <c r="E12" s="15"/>
      <c r="F12" s="15"/>
      <c r="G12" s="15"/>
    </row>
    <row r="13" spans="1:7" ht="22" customHeight="1" x14ac:dyDescent="0.2">
      <c r="A13" s="15"/>
      <c r="B13" s="44" t="s">
        <v>10</v>
      </c>
      <c r="C13" s="45" t="s">
        <v>2</v>
      </c>
      <c r="D13" s="46" t="s">
        <v>3</v>
      </c>
      <c r="E13" s="15"/>
      <c r="F13" s="15"/>
      <c r="G13" s="15"/>
    </row>
    <row r="14" spans="1:7" x14ac:dyDescent="0.2">
      <c r="A14" s="15"/>
      <c r="B14" s="37" t="s">
        <v>42</v>
      </c>
      <c r="C14" s="57">
        <f>D5/C5-1</f>
        <v>-1.2910989358298153E-2</v>
      </c>
      <c r="D14" s="60">
        <f>E5/D5-1</f>
        <v>0.14389639523182596</v>
      </c>
      <c r="E14" s="15"/>
      <c r="F14" s="15"/>
      <c r="G14" s="15"/>
    </row>
    <row r="15" spans="1:7" x14ac:dyDescent="0.2">
      <c r="A15" s="15"/>
      <c r="B15" s="38" t="s">
        <v>43</v>
      </c>
      <c r="C15" s="58">
        <f>D5/'Income Statement'!D4</f>
        <v>9.0589849938728068E-2</v>
      </c>
      <c r="D15" s="61">
        <f>E5/'Income Statement'!E4</f>
        <v>9.3293580148234273E-2</v>
      </c>
      <c r="E15" s="15"/>
      <c r="F15" s="15"/>
      <c r="G15" s="15"/>
    </row>
    <row r="16" spans="1:7" x14ac:dyDescent="0.2">
      <c r="A16" s="15"/>
      <c r="B16" s="37" t="s">
        <v>161</v>
      </c>
      <c r="C16" s="57">
        <f>ABS(D7/'Income Statement'!D4)</f>
        <v>3.2893530253847017E-2</v>
      </c>
      <c r="D16" s="60">
        <f>ABS(E7/'Income Statement'!E4)</f>
        <v>4.219823738244026E-2</v>
      </c>
      <c r="E16" s="15"/>
      <c r="F16" s="15"/>
      <c r="G16" s="15"/>
    </row>
    <row r="17" spans="1:7" ht="17" thickBot="1" x14ac:dyDescent="0.25">
      <c r="A17" s="15"/>
      <c r="B17" s="54" t="s">
        <v>162</v>
      </c>
      <c r="C17" s="65">
        <f>D5/D4</f>
        <v>1.2493949739354275</v>
      </c>
      <c r="D17" s="66">
        <f>E5/E4</f>
        <v>1.2371832512760288</v>
      </c>
      <c r="E17" s="15"/>
      <c r="F17" s="15"/>
      <c r="G17" s="15"/>
    </row>
    <row r="18" spans="1:7" x14ac:dyDescent="0.2">
      <c r="A18" s="15"/>
      <c r="B18" s="15"/>
      <c r="C18" s="15"/>
      <c r="D18" s="15"/>
      <c r="E18" s="15"/>
      <c r="F18" s="15"/>
      <c r="G18" s="15"/>
    </row>
    <row r="19" spans="1:7" x14ac:dyDescent="0.2">
      <c r="A19" s="15"/>
      <c r="B19" s="15"/>
      <c r="C19" s="15"/>
      <c r="D19" s="15"/>
      <c r="E19" s="15"/>
      <c r="F19" s="15"/>
      <c r="G19" s="15"/>
    </row>
    <row r="20" spans="1:7" x14ac:dyDescent="0.2">
      <c r="A20" s="15"/>
      <c r="B20" s="15"/>
      <c r="C20" s="15"/>
      <c r="D20" s="15"/>
      <c r="E20" s="15"/>
      <c r="F20" s="15"/>
      <c r="G20" s="15"/>
    </row>
    <row r="21" spans="1:7" x14ac:dyDescent="0.2">
      <c r="A21" s="15"/>
      <c r="B21" s="15"/>
      <c r="C21" s="15"/>
      <c r="D21" s="15"/>
      <c r="E21" s="15"/>
      <c r="F21" s="15"/>
      <c r="G21" s="15"/>
    </row>
    <row r="22" spans="1:7" x14ac:dyDescent="0.2">
      <c r="A22" s="15"/>
      <c r="B22" s="15"/>
      <c r="C22" s="15"/>
      <c r="D22" s="15"/>
      <c r="E22" s="15"/>
      <c r="F22" s="15"/>
      <c r="G22" s="15"/>
    </row>
    <row r="23" spans="1:7" x14ac:dyDescent="0.2">
      <c r="A23" s="15"/>
      <c r="B23" s="15"/>
      <c r="C23" s="15"/>
      <c r="D23" s="15"/>
      <c r="E23" s="15"/>
      <c r="F23" s="15"/>
      <c r="G23" s="15"/>
    </row>
    <row r="24" spans="1:7" x14ac:dyDescent="0.2">
      <c r="A24" s="15"/>
      <c r="B24" s="15"/>
      <c r="C24" s="15"/>
      <c r="D24" s="15"/>
      <c r="E24" s="15"/>
      <c r="F24" s="15"/>
      <c r="G24" s="15"/>
    </row>
    <row r="25" spans="1:7" x14ac:dyDescent="0.2">
      <c r="A25" s="15"/>
      <c r="B25" s="15"/>
      <c r="C25" s="15"/>
      <c r="D25" s="15"/>
      <c r="E25" s="15"/>
      <c r="F25" s="15"/>
      <c r="G25" s="15"/>
    </row>
    <row r="26" spans="1:7" x14ac:dyDescent="0.2">
      <c r="A26" s="15"/>
      <c r="B26" s="15"/>
      <c r="C26" s="15"/>
      <c r="D26" s="15"/>
      <c r="E26" s="15"/>
      <c r="F26" s="15"/>
      <c r="G26" s="15"/>
    </row>
  </sheetData>
  <mergeCells count="2">
    <mergeCell ref="B1:E1"/>
    <mergeCell ref="B2:E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54B2-0568-DF40-84B2-E0E12D64D791}">
  <sheetPr>
    <tabColor rgb="FF1F3864"/>
  </sheetPr>
  <dimension ref="A1:G25"/>
  <sheetViews>
    <sheetView zoomScale="120" zoomScaleNormal="120" workbookViewId="0">
      <pane ySplit="2" topLeftCell="A3" activePane="bottomLeft" state="frozen"/>
      <selection pane="bottomLeft" activeCell="B29" sqref="B29"/>
    </sheetView>
  </sheetViews>
  <sheetFormatPr baseColWidth="10" defaultRowHeight="16" x14ac:dyDescent="0.2"/>
  <cols>
    <col min="1" max="1" width="2.33203125" customWidth="1"/>
    <col min="2" max="2" width="36.6640625" customWidth="1"/>
    <col min="3" max="5" width="18.33203125" customWidth="1"/>
  </cols>
  <sheetData>
    <row r="1" spans="1:7" ht="30" customHeight="1" thickBot="1" x14ac:dyDescent="0.25">
      <c r="A1" s="15"/>
      <c r="B1" s="158" t="s">
        <v>138</v>
      </c>
      <c r="C1" s="158"/>
      <c r="D1" s="158"/>
      <c r="E1" s="158"/>
      <c r="F1" s="15"/>
      <c r="G1" s="15"/>
    </row>
    <row r="2" spans="1:7" ht="24" customHeight="1" x14ac:dyDescent="0.2">
      <c r="A2" s="15"/>
      <c r="B2" s="70" t="s">
        <v>45</v>
      </c>
      <c r="C2" s="71" t="s">
        <v>1</v>
      </c>
      <c r="D2" s="71" t="s">
        <v>2</v>
      </c>
      <c r="E2" s="72" t="s">
        <v>3</v>
      </c>
      <c r="F2" s="15"/>
      <c r="G2" s="15"/>
    </row>
    <row r="3" spans="1:7" x14ac:dyDescent="0.2">
      <c r="A3" s="15"/>
      <c r="B3" s="73" t="s">
        <v>11</v>
      </c>
      <c r="C3" s="74" t="s">
        <v>74</v>
      </c>
      <c r="D3" s="75">
        <f>'Income Statement'!C13</f>
        <v>7.7122204936431293E-2</v>
      </c>
      <c r="E3" s="76">
        <f>'Income Statement'!D13</f>
        <v>0.11074526912626337</v>
      </c>
      <c r="F3" s="15"/>
      <c r="G3" s="15"/>
    </row>
    <row r="4" spans="1:7" x14ac:dyDescent="0.2">
      <c r="A4" s="15"/>
      <c r="B4" s="77" t="s">
        <v>46</v>
      </c>
      <c r="C4" s="78">
        <f>'Income Statement'!C6/'Income Statement'!C4</f>
        <v>0.33287892639131483</v>
      </c>
      <c r="D4" s="78">
        <f>'Income Statement'!C14</f>
        <v>0.34710609501634576</v>
      </c>
      <c r="E4" s="79">
        <f>'Income Statement'!D14</f>
        <v>0.35971090814250423</v>
      </c>
      <c r="F4" s="15"/>
      <c r="G4" s="15"/>
    </row>
    <row r="5" spans="1:7" x14ac:dyDescent="0.2">
      <c r="A5" s="15"/>
      <c r="B5" s="73" t="s">
        <v>13</v>
      </c>
      <c r="C5" s="75">
        <f>'Income Statement'!C8/'Income Statement'!C4</f>
        <v>7.1759750230777283E-2</v>
      </c>
      <c r="D5" s="75">
        <f>'Income Statement'!C15</f>
        <v>8.5352640566014965E-2</v>
      </c>
      <c r="E5" s="76">
        <f>'Income Statement'!D15</f>
        <v>9.8231478501878883E-2</v>
      </c>
      <c r="F5" s="15"/>
      <c r="G5" s="15"/>
    </row>
    <row r="6" spans="1:7" x14ac:dyDescent="0.2">
      <c r="A6" s="15"/>
      <c r="B6" s="77" t="s">
        <v>34</v>
      </c>
      <c r="C6" s="78">
        <f>'Income Statement'!C10/'Income Statement'!C4</f>
        <v>5.5823941340171233E-2</v>
      </c>
      <c r="D6" s="78">
        <f>'Income Statement'!C16</f>
        <v>7.2506974838695032E-2</v>
      </c>
      <c r="E6" s="79">
        <f>'Income Statement'!D16</f>
        <v>7.5408052971951745E-2</v>
      </c>
      <c r="F6" s="15"/>
      <c r="G6" s="15"/>
    </row>
    <row r="7" spans="1:7" x14ac:dyDescent="0.2">
      <c r="A7" s="15"/>
      <c r="B7" s="73" t="s">
        <v>47</v>
      </c>
      <c r="C7" s="80" t="s">
        <v>74</v>
      </c>
      <c r="D7" s="75">
        <f>'Cash Flow Statement'!D4/'Balance Sheet'!C11</f>
        <v>8.9050510235690827E-2</v>
      </c>
      <c r="E7" s="76">
        <f>'Cash Flow Statement'!E4/'Balance Sheet'!D11</f>
        <v>9.2842438103743236E-2</v>
      </c>
      <c r="F7" s="15"/>
      <c r="G7" s="15"/>
    </row>
    <row r="8" spans="1:7" x14ac:dyDescent="0.2">
      <c r="A8" s="15"/>
      <c r="B8" s="77" t="s">
        <v>48</v>
      </c>
      <c r="C8" s="81" t="s">
        <v>74</v>
      </c>
      <c r="D8" s="78">
        <f>'Cash Flow Statement'!D4/'Balance Sheet'!C20</f>
        <v>0.16284092601104427</v>
      </c>
      <c r="E8" s="79">
        <f>'Cash Flow Statement'!E4/'Balance Sheet'!D20</f>
        <v>0.16514088972101246</v>
      </c>
      <c r="F8" s="15"/>
      <c r="G8" s="15"/>
    </row>
    <row r="9" spans="1:7" x14ac:dyDescent="0.2">
      <c r="A9" s="15"/>
      <c r="B9" s="73" t="s">
        <v>31</v>
      </c>
      <c r="C9" s="80" t="s">
        <v>74</v>
      </c>
      <c r="D9" s="82">
        <f>'Balance Sheet'!C8/'Balance Sheet'!C15</f>
        <v>1.387770887039721</v>
      </c>
      <c r="E9" s="83">
        <f>'Balance Sheet'!C25</f>
        <v>1.5080163206313602</v>
      </c>
      <c r="F9" s="15"/>
      <c r="G9" s="15"/>
    </row>
    <row r="10" spans="1:7" x14ac:dyDescent="0.2">
      <c r="A10" s="15"/>
      <c r="B10" s="77" t="s">
        <v>44</v>
      </c>
      <c r="C10" s="81" t="s">
        <v>74</v>
      </c>
      <c r="D10" s="84">
        <f>'Cash Flow Statement'!C17</f>
        <v>1.2493949739354275</v>
      </c>
      <c r="E10" s="85">
        <f>'Cash Flow Statement'!D17</f>
        <v>1.2371832512760288</v>
      </c>
      <c r="F10" s="15"/>
      <c r="G10" s="15"/>
    </row>
    <row r="11" spans="1:7" x14ac:dyDescent="0.2">
      <c r="A11" s="15"/>
      <c r="B11" s="73" t="s">
        <v>25</v>
      </c>
      <c r="C11" s="80" t="s">
        <v>74</v>
      </c>
      <c r="D11" s="80" t="s">
        <v>74</v>
      </c>
      <c r="E11" s="86">
        <f>'Balance Sheet'!C27</f>
        <v>0.12847060111471387</v>
      </c>
      <c r="F11" s="15"/>
      <c r="G11" s="15"/>
    </row>
    <row r="12" spans="1:7" ht="17" thickBot="1" x14ac:dyDescent="0.25">
      <c r="A12" s="15"/>
      <c r="B12" s="87" t="s">
        <v>30</v>
      </c>
      <c r="C12" s="88" t="s">
        <v>74</v>
      </c>
      <c r="D12" s="88" t="s">
        <v>74</v>
      </c>
      <c r="E12" s="89">
        <f>'Balance Sheet'!C30</f>
        <v>0.10800645206970705</v>
      </c>
      <c r="F12" s="15"/>
      <c r="G12" s="15"/>
    </row>
    <row r="13" spans="1:7" x14ac:dyDescent="0.2">
      <c r="A13" s="15"/>
      <c r="B13" s="15"/>
      <c r="C13" s="15"/>
      <c r="D13" s="15"/>
      <c r="E13" s="15"/>
      <c r="F13" s="15"/>
      <c r="G13" s="15"/>
    </row>
    <row r="14" spans="1:7" ht="17" thickBot="1" x14ac:dyDescent="0.25">
      <c r="A14" s="15"/>
      <c r="B14" s="15"/>
      <c r="C14" s="15"/>
      <c r="D14" s="15"/>
      <c r="E14" s="15"/>
      <c r="F14" s="15"/>
      <c r="G14" s="15"/>
    </row>
    <row r="15" spans="1:7" ht="16" customHeight="1" x14ac:dyDescent="0.2">
      <c r="A15" s="15"/>
      <c r="B15" s="162" t="s">
        <v>163</v>
      </c>
      <c r="C15" s="163"/>
      <c r="D15" s="163"/>
      <c r="E15" s="164"/>
      <c r="F15" s="15"/>
      <c r="G15" s="15"/>
    </row>
    <row r="16" spans="1:7" ht="16" customHeight="1" x14ac:dyDescent="0.2">
      <c r="A16" s="15"/>
      <c r="B16" s="182" t="s">
        <v>165</v>
      </c>
      <c r="C16" s="179"/>
      <c r="D16" s="179"/>
      <c r="E16" s="185"/>
      <c r="F16" s="15"/>
      <c r="G16" s="15"/>
    </row>
    <row r="17" spans="1:7" ht="16" customHeight="1" x14ac:dyDescent="0.2">
      <c r="A17" s="15"/>
      <c r="B17" s="183"/>
      <c r="C17" s="180"/>
      <c r="D17" s="180"/>
      <c r="E17" s="186"/>
      <c r="F17" s="15"/>
      <c r="G17" s="15"/>
    </row>
    <row r="18" spans="1:7" ht="16" customHeight="1" x14ac:dyDescent="0.2">
      <c r="A18" s="15"/>
      <c r="B18" s="182" t="s">
        <v>166</v>
      </c>
      <c r="C18" s="179"/>
      <c r="D18" s="179"/>
      <c r="E18" s="185"/>
      <c r="F18" s="15"/>
      <c r="G18" s="15"/>
    </row>
    <row r="19" spans="1:7" ht="16" customHeight="1" x14ac:dyDescent="0.2">
      <c r="B19" s="183"/>
      <c r="C19" s="180"/>
      <c r="D19" s="180"/>
      <c r="E19" s="186"/>
    </row>
    <row r="20" spans="1:7" ht="16" customHeight="1" x14ac:dyDescent="0.2">
      <c r="B20" s="182" t="s">
        <v>167</v>
      </c>
      <c r="C20" s="179"/>
      <c r="D20" s="179"/>
      <c r="E20" s="185"/>
    </row>
    <row r="21" spans="1:7" x14ac:dyDescent="0.2">
      <c r="B21" s="183"/>
      <c r="C21" s="180"/>
      <c r="D21" s="180"/>
      <c r="E21" s="186"/>
    </row>
    <row r="22" spans="1:7" ht="16" customHeight="1" x14ac:dyDescent="0.2">
      <c r="B22" s="182" t="s">
        <v>168</v>
      </c>
      <c r="C22" s="179"/>
      <c r="D22" s="179"/>
      <c r="E22" s="185"/>
    </row>
    <row r="23" spans="1:7" ht="16" customHeight="1" x14ac:dyDescent="0.2">
      <c r="B23" s="183"/>
      <c r="C23" s="180"/>
      <c r="D23" s="180"/>
      <c r="E23" s="186"/>
    </row>
    <row r="24" spans="1:7" ht="16" customHeight="1" thickBot="1" x14ac:dyDescent="0.25">
      <c r="B24" s="184" t="s">
        <v>169</v>
      </c>
      <c r="C24" s="181"/>
      <c r="D24" s="181"/>
      <c r="E24" s="187"/>
    </row>
    <row r="25" spans="1:7" ht="16" customHeight="1" x14ac:dyDescent="0.2"/>
  </sheetData>
  <mergeCells count="7">
    <mergeCell ref="B16:E16"/>
    <mergeCell ref="B18:E18"/>
    <mergeCell ref="B20:E20"/>
    <mergeCell ref="B22:E22"/>
    <mergeCell ref="B24:E24"/>
    <mergeCell ref="B1:E1"/>
    <mergeCell ref="B15:E1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6BAD-37E3-E041-A937-46B13BD1CCAB}">
  <sheetPr>
    <tabColor rgb="FF1F3864"/>
  </sheetPr>
  <dimension ref="A1:H59"/>
  <sheetViews>
    <sheetView zoomScaleNormal="100" workbookViewId="0">
      <selection activeCell="O13" sqref="O13"/>
    </sheetView>
  </sheetViews>
  <sheetFormatPr baseColWidth="10" defaultRowHeight="16" x14ac:dyDescent="0.2"/>
  <cols>
    <col min="1" max="1" width="2.33203125" customWidth="1"/>
    <col min="2" max="7" width="21.6640625" customWidth="1"/>
    <col min="8" max="8" width="15" bestFit="1" customWidth="1"/>
  </cols>
  <sheetData>
    <row r="1" spans="1:8" ht="30" customHeight="1" thickBot="1" x14ac:dyDescent="0.25">
      <c r="A1" s="15"/>
      <c r="B1" s="158" t="s">
        <v>140</v>
      </c>
      <c r="C1" s="158"/>
      <c r="D1" s="158"/>
      <c r="E1" s="158"/>
      <c r="F1" s="158"/>
      <c r="G1" s="158"/>
      <c r="H1" s="15"/>
    </row>
    <row r="2" spans="1:8" ht="28" customHeight="1" x14ac:dyDescent="0.2">
      <c r="A2" s="15"/>
      <c r="B2" s="92" t="s">
        <v>49</v>
      </c>
      <c r="C2" s="92" t="s">
        <v>9</v>
      </c>
      <c r="D2" s="92" t="s">
        <v>50</v>
      </c>
      <c r="E2" s="92" t="s">
        <v>51</v>
      </c>
      <c r="F2" s="92" t="s">
        <v>58</v>
      </c>
      <c r="G2" s="91" t="s">
        <v>48</v>
      </c>
      <c r="H2" s="15"/>
    </row>
    <row r="3" spans="1:8" ht="36" customHeight="1" thickBot="1" x14ac:dyDescent="0.25">
      <c r="A3" s="15"/>
      <c r="B3" s="93">
        <f>'Income Statement'!E4</f>
        <v>6165376</v>
      </c>
      <c r="C3" s="94">
        <f>'Income Statement'!E10</f>
        <v>464919</v>
      </c>
      <c r="D3" s="94">
        <f>'Cash Flow Statement'!E11</f>
        <v>369206</v>
      </c>
      <c r="E3" s="95">
        <f>'Income Statement'!D15</f>
        <v>9.8231478501878883E-2</v>
      </c>
      <c r="F3" s="95">
        <f>'Income Statement'!D13</f>
        <v>0.11074526912626337</v>
      </c>
      <c r="G3" s="96">
        <f>'Ratio Analysis'!E8</f>
        <v>0.16514088972101246</v>
      </c>
      <c r="H3" s="15"/>
    </row>
    <row r="4" spans="1:8" x14ac:dyDescent="0.2">
      <c r="A4" s="15"/>
      <c r="B4" s="15"/>
      <c r="C4" s="15"/>
      <c r="D4" s="15"/>
      <c r="E4" s="15"/>
      <c r="F4" s="15"/>
      <c r="G4" s="15"/>
      <c r="H4" s="15"/>
    </row>
    <row r="5" spans="1:8" x14ac:dyDescent="0.2">
      <c r="A5" s="15"/>
      <c r="B5" s="15"/>
      <c r="C5" s="15"/>
      <c r="D5" s="15"/>
      <c r="E5" s="15"/>
      <c r="F5" s="15"/>
      <c r="G5" s="15"/>
      <c r="H5" s="15"/>
    </row>
    <row r="6" spans="1:8" x14ac:dyDescent="0.2">
      <c r="A6" s="15"/>
      <c r="B6" s="15"/>
      <c r="C6" s="15"/>
      <c r="D6" s="15"/>
      <c r="E6" s="15"/>
      <c r="F6" s="15"/>
      <c r="G6" s="15"/>
      <c r="H6" s="15"/>
    </row>
    <row r="7" spans="1:8" x14ac:dyDescent="0.2">
      <c r="A7" s="15"/>
      <c r="B7" s="15"/>
      <c r="C7" s="15"/>
      <c r="D7" s="15"/>
      <c r="E7" s="15"/>
      <c r="F7" s="15"/>
      <c r="G7" s="15"/>
      <c r="H7" s="15"/>
    </row>
    <row r="8" spans="1:8" x14ac:dyDescent="0.2">
      <c r="A8" s="15"/>
      <c r="B8" s="15"/>
      <c r="C8" s="15"/>
      <c r="D8" s="15"/>
      <c r="E8" s="15"/>
      <c r="F8" s="15"/>
      <c r="G8" s="15"/>
      <c r="H8" s="15"/>
    </row>
    <row r="9" spans="1:8" x14ac:dyDescent="0.2">
      <c r="A9" s="15"/>
      <c r="B9" s="15"/>
      <c r="C9" s="15"/>
      <c r="D9" s="15"/>
      <c r="E9" s="15"/>
      <c r="F9" s="15"/>
      <c r="G9" s="15"/>
      <c r="H9" s="15"/>
    </row>
    <row r="10" spans="1:8" x14ac:dyDescent="0.2">
      <c r="A10" s="15"/>
      <c r="B10" s="15"/>
      <c r="C10" s="15"/>
      <c r="D10" s="15"/>
      <c r="E10" s="15"/>
      <c r="F10" s="15"/>
      <c r="G10" s="15"/>
      <c r="H10" s="15"/>
    </row>
    <row r="11" spans="1:8" x14ac:dyDescent="0.2">
      <c r="A11" s="15"/>
      <c r="B11" s="15"/>
      <c r="C11" s="15"/>
      <c r="D11" s="15"/>
      <c r="E11" s="15"/>
      <c r="F11" s="15"/>
      <c r="G11" s="15"/>
      <c r="H11" s="15"/>
    </row>
    <row r="12" spans="1:8" x14ac:dyDescent="0.2">
      <c r="A12" s="15"/>
      <c r="B12" s="15"/>
      <c r="C12" s="15"/>
      <c r="D12" s="15"/>
      <c r="E12" s="15"/>
      <c r="F12" s="15"/>
      <c r="G12" s="15"/>
      <c r="H12" s="15"/>
    </row>
    <row r="13" spans="1:8" x14ac:dyDescent="0.2">
      <c r="A13" s="15"/>
      <c r="B13" s="15"/>
      <c r="C13" s="15"/>
      <c r="D13" s="15"/>
      <c r="E13" s="15"/>
      <c r="F13" s="15"/>
      <c r="G13" s="15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15"/>
      <c r="B16" s="15"/>
      <c r="C16" s="15"/>
      <c r="D16" s="15"/>
      <c r="E16" s="15"/>
      <c r="F16" s="15"/>
      <c r="G16" s="15"/>
      <c r="H16" s="15"/>
    </row>
    <row r="17" spans="1:8" x14ac:dyDescent="0.2">
      <c r="A17" s="15"/>
      <c r="B17" s="15"/>
      <c r="C17" s="15"/>
      <c r="D17" s="15"/>
      <c r="E17" s="15"/>
      <c r="F17" s="15"/>
      <c r="G17" s="15"/>
      <c r="H17" s="15"/>
    </row>
    <row r="18" spans="1:8" x14ac:dyDescent="0.2">
      <c r="A18" s="15"/>
      <c r="B18" s="15"/>
      <c r="C18" s="15"/>
      <c r="D18" s="15"/>
      <c r="E18" s="15"/>
      <c r="F18" s="15"/>
      <c r="G18" s="15"/>
      <c r="H18" s="15"/>
    </row>
    <row r="19" spans="1:8" x14ac:dyDescent="0.2">
      <c r="A19" s="15"/>
      <c r="B19" s="15"/>
      <c r="C19" s="15"/>
      <c r="D19" s="15"/>
      <c r="E19" s="15"/>
      <c r="F19" s="15"/>
      <c r="G19" s="15"/>
      <c r="H19" s="15"/>
    </row>
    <row r="20" spans="1:8" x14ac:dyDescent="0.2">
      <c r="A20" s="15"/>
      <c r="B20" s="15"/>
      <c r="C20" s="15"/>
      <c r="D20" s="15"/>
      <c r="E20" s="15"/>
      <c r="F20" s="15"/>
      <c r="G20" s="15"/>
      <c r="H20" s="15"/>
    </row>
    <row r="21" spans="1:8" ht="17" thickBot="1" x14ac:dyDescent="0.25">
      <c r="A21" s="15"/>
      <c r="B21" s="15"/>
      <c r="C21" s="15"/>
      <c r="D21" s="15"/>
      <c r="E21" s="15"/>
      <c r="F21" s="15"/>
      <c r="G21" s="15"/>
      <c r="H21" s="15"/>
    </row>
    <row r="22" spans="1:8" ht="16" customHeight="1" x14ac:dyDescent="0.2">
      <c r="A22" s="15"/>
      <c r="B22" s="162" t="s">
        <v>59</v>
      </c>
      <c r="C22" s="188"/>
      <c r="D22" s="188"/>
      <c r="E22" s="188"/>
      <c r="F22" s="188"/>
      <c r="G22" s="189"/>
      <c r="H22" s="15"/>
    </row>
    <row r="23" spans="1:8" x14ac:dyDescent="0.2">
      <c r="A23" s="15"/>
      <c r="B23" s="97" t="s">
        <v>62</v>
      </c>
      <c r="C23" s="2"/>
      <c r="D23" s="2"/>
      <c r="E23" s="2"/>
      <c r="F23" s="2"/>
      <c r="G23" s="99"/>
      <c r="H23" s="15"/>
    </row>
    <row r="24" spans="1:8" x14ac:dyDescent="0.2">
      <c r="A24" s="15"/>
      <c r="B24" s="98"/>
      <c r="C24" s="15"/>
      <c r="D24" s="15"/>
      <c r="E24" s="15"/>
      <c r="F24" s="15"/>
      <c r="G24" s="100"/>
      <c r="H24" s="15"/>
    </row>
    <row r="25" spans="1:8" x14ac:dyDescent="0.2">
      <c r="A25" s="15"/>
      <c r="B25" s="97" t="s">
        <v>63</v>
      </c>
      <c r="C25" s="2"/>
      <c r="D25" s="2"/>
      <c r="E25" s="2"/>
      <c r="F25" s="2"/>
      <c r="G25" s="99"/>
      <c r="H25" s="15"/>
    </row>
    <row r="26" spans="1:8" x14ac:dyDescent="0.2">
      <c r="A26" s="15"/>
      <c r="B26" s="98"/>
      <c r="C26" s="15"/>
      <c r="D26" s="15"/>
      <c r="E26" s="15"/>
      <c r="F26" s="15"/>
      <c r="G26" s="100"/>
      <c r="H26" s="15"/>
    </row>
    <row r="27" spans="1:8" x14ac:dyDescent="0.2">
      <c r="A27" s="15"/>
      <c r="B27" s="97" t="s">
        <v>64</v>
      </c>
      <c r="C27" s="2"/>
      <c r="D27" s="2"/>
      <c r="E27" s="2"/>
      <c r="F27" s="2"/>
      <c r="G27" s="99"/>
      <c r="H27" s="15"/>
    </row>
    <row r="28" spans="1:8" x14ac:dyDescent="0.2">
      <c r="A28" s="15"/>
      <c r="B28" s="98"/>
      <c r="C28" s="15"/>
      <c r="D28" s="15"/>
      <c r="E28" s="15"/>
      <c r="F28" s="15"/>
      <c r="G28" s="100"/>
      <c r="H28" s="15"/>
    </row>
    <row r="29" spans="1:8" x14ac:dyDescent="0.2">
      <c r="A29" s="15"/>
      <c r="B29" s="97" t="s">
        <v>65</v>
      </c>
      <c r="C29" s="2"/>
      <c r="D29" s="2"/>
      <c r="E29" s="2"/>
      <c r="F29" s="2"/>
      <c r="G29" s="99"/>
      <c r="H29" s="15"/>
    </row>
    <row r="30" spans="1:8" x14ac:dyDescent="0.2">
      <c r="A30" s="15"/>
      <c r="B30" s="98"/>
      <c r="C30" s="15"/>
      <c r="D30" s="15"/>
      <c r="E30" s="15"/>
      <c r="F30" s="15"/>
      <c r="G30" s="100"/>
      <c r="H30" s="15"/>
    </row>
    <row r="31" spans="1:8" ht="17" thickBot="1" x14ac:dyDescent="0.25">
      <c r="A31" s="15"/>
      <c r="B31" s="101" t="s">
        <v>66</v>
      </c>
      <c r="C31" s="102"/>
      <c r="D31" s="102"/>
      <c r="E31" s="102"/>
      <c r="F31" s="102"/>
      <c r="G31" s="103"/>
      <c r="H31" s="15"/>
    </row>
    <row r="32" spans="1:8" x14ac:dyDescent="0.2">
      <c r="A32" s="15"/>
      <c r="B32" s="15"/>
      <c r="C32" s="15"/>
      <c r="D32" s="15"/>
      <c r="E32" s="15"/>
      <c r="F32" s="15"/>
      <c r="G32" s="15"/>
      <c r="H32" s="15"/>
    </row>
    <row r="33" spans="1:8" x14ac:dyDescent="0.2">
      <c r="A33" s="15"/>
      <c r="B33" s="15"/>
      <c r="C33" s="15"/>
      <c r="D33" s="15"/>
      <c r="E33" s="15"/>
      <c r="F33" s="15"/>
      <c r="G33" s="15"/>
      <c r="H33" s="15"/>
    </row>
    <row r="34" spans="1:8" x14ac:dyDescent="0.2">
      <c r="A34" s="15"/>
      <c r="B34" s="15"/>
      <c r="C34" s="15"/>
      <c r="D34" s="15"/>
      <c r="E34" s="15"/>
      <c r="F34" s="15"/>
      <c r="G34" s="15"/>
      <c r="H34" s="15"/>
    </row>
    <row r="35" spans="1:8" x14ac:dyDescent="0.2">
      <c r="A35" s="15"/>
      <c r="B35" s="15"/>
      <c r="C35" s="15"/>
      <c r="D35" s="15"/>
      <c r="E35" s="15"/>
      <c r="F35" s="15"/>
      <c r="G35" s="15"/>
      <c r="H35" s="15"/>
    </row>
    <row r="36" spans="1:8" ht="17" thickBot="1" x14ac:dyDescent="0.25">
      <c r="A36" s="15"/>
      <c r="B36" s="15"/>
      <c r="C36" s="15"/>
      <c r="D36" s="15"/>
      <c r="E36" s="15"/>
      <c r="F36" s="15"/>
      <c r="G36" s="15"/>
      <c r="H36" s="15"/>
    </row>
    <row r="37" spans="1:8" ht="22" customHeight="1" x14ac:dyDescent="0.2">
      <c r="A37" s="15"/>
      <c r="B37" s="162" t="s">
        <v>52</v>
      </c>
      <c r="C37" s="160"/>
      <c r="D37" s="161"/>
      <c r="E37" s="15"/>
      <c r="F37" s="15"/>
      <c r="G37" s="15"/>
      <c r="H37" s="15"/>
    </row>
    <row r="38" spans="1:8" x14ac:dyDescent="0.2">
      <c r="A38" s="15"/>
      <c r="B38" s="104" t="s">
        <v>54</v>
      </c>
      <c r="C38" s="90" t="s">
        <v>14</v>
      </c>
      <c r="D38" s="105" t="s">
        <v>9</v>
      </c>
      <c r="E38" s="15"/>
      <c r="F38" s="15"/>
      <c r="G38" s="15"/>
      <c r="H38" s="15"/>
    </row>
    <row r="39" spans="1:8" x14ac:dyDescent="0.2">
      <c r="A39" s="15"/>
      <c r="B39" s="24" t="s">
        <v>1</v>
      </c>
      <c r="C39" s="17">
        <f>'Income Statement'!C4</f>
        <v>5153237</v>
      </c>
      <c r="D39" s="28">
        <f>'Income Statement'!C10</f>
        <v>287674</v>
      </c>
      <c r="E39" s="15"/>
      <c r="F39" s="15"/>
      <c r="G39" s="15"/>
      <c r="H39" s="15"/>
    </row>
    <row r="40" spans="1:8" x14ac:dyDescent="0.2">
      <c r="A40" s="15"/>
      <c r="B40" s="25" t="s">
        <v>2</v>
      </c>
      <c r="C40" s="20">
        <f>'Income Statement'!D4</f>
        <v>5550666</v>
      </c>
      <c r="D40" s="29">
        <f>'Income Statement'!D10</f>
        <v>402462</v>
      </c>
      <c r="E40" s="15"/>
      <c r="F40" s="15"/>
      <c r="G40" s="15"/>
      <c r="H40" s="15"/>
    </row>
    <row r="41" spans="1:8" ht="17" thickBot="1" x14ac:dyDescent="0.25">
      <c r="A41" s="15"/>
      <c r="B41" s="106" t="s">
        <v>3</v>
      </c>
      <c r="C41" s="107">
        <f>'Income Statement'!E4</f>
        <v>6165376</v>
      </c>
      <c r="D41" s="108">
        <f>'Income Statement'!E10</f>
        <v>464919</v>
      </c>
      <c r="E41" s="15"/>
      <c r="F41" s="15"/>
      <c r="G41" s="15"/>
      <c r="H41" s="15"/>
    </row>
    <row r="42" spans="1:8" x14ac:dyDescent="0.2">
      <c r="A42" s="15"/>
      <c r="B42" s="15"/>
      <c r="C42" s="15"/>
      <c r="D42" s="15"/>
      <c r="E42" s="15"/>
      <c r="F42" s="15"/>
      <c r="G42" s="15"/>
      <c r="H42" s="15"/>
    </row>
    <row r="43" spans="1:8" ht="17" thickBot="1" x14ac:dyDescent="0.25">
      <c r="A43" s="15"/>
      <c r="B43" s="15"/>
      <c r="C43" s="15"/>
      <c r="D43" s="15"/>
      <c r="E43" s="15"/>
      <c r="F43" s="15"/>
      <c r="G43" s="15"/>
      <c r="H43" s="15"/>
    </row>
    <row r="44" spans="1:8" ht="22" customHeight="1" x14ac:dyDescent="0.2">
      <c r="A44" s="15"/>
      <c r="B44" s="162" t="s">
        <v>53</v>
      </c>
      <c r="C44" s="160"/>
      <c r="D44" s="160"/>
      <c r="E44" s="161"/>
      <c r="F44" s="15"/>
      <c r="G44" s="15"/>
      <c r="H44" s="15"/>
    </row>
    <row r="45" spans="1:8" x14ac:dyDescent="0.2">
      <c r="A45" s="15"/>
      <c r="B45" s="104" t="s">
        <v>55</v>
      </c>
      <c r="C45" s="90" t="s">
        <v>56</v>
      </c>
      <c r="D45" s="90" t="s">
        <v>51</v>
      </c>
      <c r="E45" s="105" t="s">
        <v>57</v>
      </c>
      <c r="F45" s="15"/>
      <c r="G45" s="15"/>
      <c r="H45" s="15"/>
    </row>
    <row r="46" spans="1:8" x14ac:dyDescent="0.2">
      <c r="A46" s="15"/>
      <c r="B46" s="24" t="s">
        <v>1</v>
      </c>
      <c r="C46" s="21">
        <f>'Income Statement'!C6/'Income Statement'!C4</f>
        <v>0.33287892639131483</v>
      </c>
      <c r="D46" s="21">
        <f>'Income Statement'!C8/'Income Statement'!C4</f>
        <v>7.1759750230777283E-2</v>
      </c>
      <c r="E46" s="39">
        <f>'Income Statement'!C10/'Income Statement'!C4</f>
        <v>5.5823941340171233E-2</v>
      </c>
      <c r="F46" s="15"/>
      <c r="G46" s="15"/>
      <c r="H46" s="15"/>
    </row>
    <row r="47" spans="1:8" x14ac:dyDescent="0.2">
      <c r="A47" s="15"/>
      <c r="B47" s="25" t="s">
        <v>2</v>
      </c>
      <c r="C47" s="22">
        <f>'Income Statement'!C14</f>
        <v>0.34710609501634576</v>
      </c>
      <c r="D47" s="22">
        <f>'Income Statement'!C15</f>
        <v>8.5352640566014965E-2</v>
      </c>
      <c r="E47" s="40">
        <f>'Income Statement'!C16</f>
        <v>7.2506974838695032E-2</v>
      </c>
      <c r="F47" s="15"/>
      <c r="G47" s="15"/>
      <c r="H47" s="15"/>
    </row>
    <row r="48" spans="1:8" ht="17" thickBot="1" x14ac:dyDescent="0.25">
      <c r="A48" s="15"/>
      <c r="B48" s="106" t="s">
        <v>3</v>
      </c>
      <c r="C48" s="42">
        <f>'Income Statement'!D14</f>
        <v>0.35971090814250423</v>
      </c>
      <c r="D48" s="42">
        <f>'Income Statement'!D15</f>
        <v>9.8231478501878883E-2</v>
      </c>
      <c r="E48" s="43">
        <f>'Income Statement'!D16</f>
        <v>7.5408052971951745E-2</v>
      </c>
      <c r="F48" s="15"/>
      <c r="G48" s="15"/>
      <c r="H48" s="15"/>
    </row>
    <row r="49" spans="1:8" x14ac:dyDescent="0.2">
      <c r="A49" s="15"/>
      <c r="B49" s="15"/>
      <c r="C49" s="15"/>
      <c r="D49" s="15"/>
      <c r="E49" s="15"/>
      <c r="F49" s="15"/>
      <c r="G49" s="15"/>
      <c r="H49" s="15"/>
    </row>
    <row r="50" spans="1:8" ht="17" thickBot="1" x14ac:dyDescent="0.25">
      <c r="A50" s="15"/>
      <c r="B50" s="15"/>
      <c r="C50" s="15"/>
      <c r="D50" s="15"/>
      <c r="E50" s="15"/>
      <c r="F50" s="15"/>
      <c r="G50" s="15"/>
      <c r="H50" s="15"/>
    </row>
    <row r="51" spans="1:8" ht="22" customHeight="1" x14ac:dyDescent="0.2">
      <c r="A51" s="15"/>
      <c r="B51" s="162" t="s">
        <v>60</v>
      </c>
      <c r="C51" s="161"/>
      <c r="D51" s="15"/>
      <c r="E51" s="15"/>
      <c r="F51" s="15"/>
      <c r="G51" s="15"/>
      <c r="H51" s="15"/>
    </row>
    <row r="52" spans="1:8" x14ac:dyDescent="0.2">
      <c r="A52" s="15"/>
      <c r="B52" s="104" t="s">
        <v>54</v>
      </c>
      <c r="C52" s="105" t="s">
        <v>61</v>
      </c>
      <c r="D52" s="15"/>
      <c r="E52" s="15"/>
      <c r="F52" s="15"/>
      <c r="G52" s="15"/>
      <c r="H52" s="15"/>
    </row>
    <row r="53" spans="1:8" x14ac:dyDescent="0.2">
      <c r="A53" s="15"/>
      <c r="B53" s="24" t="s">
        <v>1</v>
      </c>
      <c r="C53" s="28">
        <f>'Cash Flow Statement'!C5</f>
        <v>509411</v>
      </c>
      <c r="D53" s="15"/>
      <c r="E53" s="15"/>
      <c r="F53" s="15"/>
      <c r="G53" s="15"/>
      <c r="H53" s="15"/>
    </row>
    <row r="54" spans="1:8" x14ac:dyDescent="0.2">
      <c r="A54" s="15"/>
      <c r="B54" s="25" t="s">
        <v>2</v>
      </c>
      <c r="C54" s="29">
        <f>'Cash Flow Statement'!D5</f>
        <v>502834</v>
      </c>
      <c r="D54" s="15"/>
      <c r="E54" s="15"/>
      <c r="F54" s="15"/>
      <c r="G54" s="15"/>
      <c r="H54" s="15"/>
    </row>
    <row r="55" spans="1:8" ht="17" thickBot="1" x14ac:dyDescent="0.25">
      <c r="A55" s="15"/>
      <c r="B55" s="106" t="s">
        <v>3</v>
      </c>
      <c r="C55" s="108">
        <f>'Cash Flow Statement'!E5</f>
        <v>575190</v>
      </c>
      <c r="D55" s="15"/>
      <c r="E55" s="15"/>
      <c r="F55" s="15"/>
      <c r="G55" s="15"/>
      <c r="H55" s="15"/>
    </row>
    <row r="56" spans="1:8" x14ac:dyDescent="0.2">
      <c r="A56" s="15"/>
      <c r="B56" s="15"/>
      <c r="C56" s="15"/>
      <c r="D56" s="15"/>
      <c r="E56" s="15"/>
      <c r="F56" s="15"/>
      <c r="G56" s="15"/>
      <c r="H56" s="15"/>
    </row>
    <row r="57" spans="1:8" x14ac:dyDescent="0.2">
      <c r="A57" s="15"/>
      <c r="B57" s="15"/>
      <c r="C57" s="15"/>
      <c r="D57" s="15"/>
      <c r="E57" s="15"/>
      <c r="F57" s="15"/>
      <c r="G57" s="15"/>
      <c r="H57" s="15"/>
    </row>
    <row r="58" spans="1:8" x14ac:dyDescent="0.2">
      <c r="A58" s="15"/>
      <c r="B58" s="15"/>
      <c r="C58" s="15"/>
      <c r="D58" s="15"/>
      <c r="E58" s="15"/>
      <c r="F58" s="15"/>
      <c r="G58" s="15"/>
      <c r="H58" s="15"/>
    </row>
    <row r="59" spans="1:8" x14ac:dyDescent="0.2">
      <c r="A59" s="15"/>
      <c r="B59" s="15"/>
      <c r="C59" s="15"/>
      <c r="D59" s="15"/>
      <c r="E59" s="15"/>
      <c r="F59" s="15"/>
      <c r="G59" s="15"/>
      <c r="H59" s="15"/>
    </row>
  </sheetData>
  <mergeCells count="5">
    <mergeCell ref="B22:G22"/>
    <mergeCell ref="B37:D37"/>
    <mergeCell ref="B44:E44"/>
    <mergeCell ref="B51:C51"/>
    <mergeCell ref="B1:G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0BDD-6F14-C045-A68B-749EAACD03EF}">
  <sheetPr>
    <tabColor rgb="FF1F3864"/>
  </sheetPr>
  <dimension ref="A1:G23"/>
  <sheetViews>
    <sheetView zoomScale="120" zoomScaleNormal="120" workbookViewId="0">
      <pane ySplit="4" topLeftCell="A5" activePane="bottomLeft" state="frozen"/>
      <selection pane="bottomLeft" activeCell="A14" sqref="A14:XFD14"/>
    </sheetView>
  </sheetViews>
  <sheetFormatPr baseColWidth="10" defaultRowHeight="16" x14ac:dyDescent="0.2"/>
  <cols>
    <col min="1" max="1" width="2.33203125" customWidth="1"/>
    <col min="2" max="2" width="33.33203125" customWidth="1"/>
    <col min="3" max="5" width="18.33203125" customWidth="1"/>
  </cols>
  <sheetData>
    <row r="1" spans="1:7" x14ac:dyDescent="0.2">
      <c r="A1" s="15"/>
      <c r="B1" s="178" t="s">
        <v>164</v>
      </c>
      <c r="C1" s="15"/>
      <c r="D1" s="15"/>
      <c r="E1" s="15"/>
      <c r="F1" s="15"/>
      <c r="G1" s="15"/>
    </row>
    <row r="2" spans="1:7" ht="28" customHeight="1" x14ac:dyDescent="0.2">
      <c r="A2" s="15"/>
      <c r="B2" s="156" t="s">
        <v>146</v>
      </c>
      <c r="C2" s="156"/>
      <c r="D2" s="156"/>
      <c r="E2" s="156"/>
      <c r="F2" s="15"/>
      <c r="G2" s="15"/>
    </row>
    <row r="3" spans="1:7" ht="17" thickBot="1" x14ac:dyDescent="0.25">
      <c r="A3" s="15"/>
      <c r="B3" s="15"/>
      <c r="C3" s="15"/>
      <c r="D3" s="15"/>
      <c r="E3" s="15"/>
      <c r="F3" s="15"/>
      <c r="G3" s="15"/>
    </row>
    <row r="4" spans="1:7" ht="22" customHeight="1" x14ac:dyDescent="0.2">
      <c r="A4" s="15"/>
      <c r="B4" s="34" t="s">
        <v>67</v>
      </c>
      <c r="C4" s="35" t="s">
        <v>1</v>
      </c>
      <c r="D4" s="35" t="s">
        <v>2</v>
      </c>
      <c r="E4" s="36" t="s">
        <v>3</v>
      </c>
      <c r="F4" s="15"/>
      <c r="G4" s="15"/>
    </row>
    <row r="5" spans="1:7" x14ac:dyDescent="0.2">
      <c r="A5" s="15"/>
      <c r="B5" s="37" t="s">
        <v>58</v>
      </c>
      <c r="C5" s="57" t="s">
        <v>74</v>
      </c>
      <c r="D5" s="57">
        <f>'Income Statement'!C13</f>
        <v>7.7122204936431293E-2</v>
      </c>
      <c r="E5" s="60">
        <f>'Income Statement'!D13</f>
        <v>0.11074526912626337</v>
      </c>
      <c r="F5" s="15"/>
      <c r="G5" s="15"/>
    </row>
    <row r="6" spans="1:7" x14ac:dyDescent="0.2">
      <c r="A6" s="15"/>
      <c r="B6" s="38" t="s">
        <v>56</v>
      </c>
      <c r="C6" s="58">
        <f>'Income Statement'!C6/'Income Statement'!C4</f>
        <v>0.33287892639131483</v>
      </c>
      <c r="D6" s="58">
        <f>'Income Statement'!C14</f>
        <v>0.34710609501634576</v>
      </c>
      <c r="E6" s="61">
        <f>'Income Statement'!D14</f>
        <v>0.35971090814250423</v>
      </c>
      <c r="F6" s="15"/>
      <c r="G6" s="15"/>
    </row>
    <row r="7" spans="1:7" x14ac:dyDescent="0.2">
      <c r="A7" s="15"/>
      <c r="B7" s="37" t="s">
        <v>68</v>
      </c>
      <c r="C7" s="57">
        <f>'Income Statement'!C7/'Income Statement'!C4</f>
        <v>0.25987646211497745</v>
      </c>
      <c r="D7" s="57">
        <f>'Income Statement'!D7/'Income Statement'!D4</f>
        <v>0.26175345445033082</v>
      </c>
      <c r="E7" s="60">
        <f>'Income Statement'!E7/'Income Statement'!E4</f>
        <v>0.26147942964062532</v>
      </c>
      <c r="F7" s="15"/>
      <c r="G7" s="15"/>
    </row>
    <row r="8" spans="1:7" x14ac:dyDescent="0.2">
      <c r="A8" s="15"/>
      <c r="B8" s="38" t="s">
        <v>69</v>
      </c>
      <c r="C8" s="58">
        <f>('Income Statement'!C9-'Income Statement'!C10)/'Income Statement'!C9</f>
        <v>0.24615114502616567</v>
      </c>
      <c r="D8" s="58">
        <f>('Income Statement'!D9-'Income Statement'!D10)/'Income Statement'!D9</f>
        <v>0.19535279863726879</v>
      </c>
      <c r="E8" s="61">
        <f>('Income Statement'!E9-'Income Statement'!E10)/'Income Statement'!E9</f>
        <v>0.22110682412543536</v>
      </c>
      <c r="F8" s="15"/>
      <c r="G8" s="15"/>
    </row>
    <row r="9" spans="1:7" x14ac:dyDescent="0.2">
      <c r="A9" s="15"/>
      <c r="B9" s="37" t="s">
        <v>70</v>
      </c>
      <c r="C9" s="57">
        <f>ABS('Cash Flow Statement'!C7/'Income Statement'!C4)</f>
        <v>3.8737787530439605E-2</v>
      </c>
      <c r="D9" s="57">
        <f>'Cash Flow Statement'!C16</f>
        <v>3.2893530253847017E-2</v>
      </c>
      <c r="E9" s="60">
        <f>'Cash Flow Statement'!D16</f>
        <v>4.219823738244026E-2</v>
      </c>
      <c r="F9" s="15"/>
      <c r="G9" s="15"/>
    </row>
    <row r="10" spans="1:7" x14ac:dyDescent="0.2">
      <c r="A10" s="15"/>
      <c r="B10" s="38" t="s">
        <v>71</v>
      </c>
      <c r="C10" s="58">
        <f>'Cash Flow Statement'!C6/'Income Statement'!C4</f>
        <v>1.9887887943054045E-2</v>
      </c>
      <c r="D10" s="58">
        <f>'Cash Flow Statement'!D6/'Income Statement'!D4</f>
        <v>2.079480192106677E-2</v>
      </c>
      <c r="E10" s="61">
        <f>'Cash Flow Statement'!E6/'Income Statement'!E4</f>
        <v>2.0846903741150582E-2</v>
      </c>
      <c r="F10" s="15"/>
      <c r="G10" s="15"/>
    </row>
    <row r="11" spans="1:7" ht="17" thickBot="1" x14ac:dyDescent="0.25">
      <c r="A11" s="15"/>
      <c r="B11" s="41" t="s">
        <v>72</v>
      </c>
      <c r="C11" s="109" t="s">
        <v>74</v>
      </c>
      <c r="D11" s="109">
        <f>('Balance Sheet'!C8-'Balance Sheet'!C15)/'Income Statement'!D4</f>
        <v>7.5147198552389924E-2</v>
      </c>
      <c r="E11" s="110">
        <f>('Balance Sheet'!D8-'Balance Sheet'!D15)/'Income Statement'!E4</f>
        <v>9.212901208296137E-2</v>
      </c>
      <c r="F11" s="15"/>
      <c r="G11" s="15"/>
    </row>
    <row r="12" spans="1:7" x14ac:dyDescent="0.2">
      <c r="A12" s="15"/>
      <c r="B12" s="15"/>
      <c r="C12" s="15"/>
      <c r="D12" s="15"/>
      <c r="E12" s="15"/>
      <c r="F12" s="15"/>
      <c r="G12" s="15"/>
    </row>
    <row r="13" spans="1:7" ht="17" thickBot="1" x14ac:dyDescent="0.25">
      <c r="A13" s="15"/>
      <c r="B13" s="15"/>
      <c r="C13" s="15"/>
      <c r="D13" s="15"/>
      <c r="E13" s="15"/>
      <c r="F13" s="15"/>
      <c r="G13" s="15"/>
    </row>
    <row r="14" spans="1:7" ht="16" customHeight="1" x14ac:dyDescent="0.2">
      <c r="A14" s="15"/>
      <c r="B14" s="162" t="s">
        <v>163</v>
      </c>
      <c r="C14" s="163"/>
      <c r="D14" s="163"/>
      <c r="E14" s="164"/>
      <c r="F14" s="15"/>
      <c r="G14" s="15"/>
    </row>
    <row r="15" spans="1:7" ht="16" customHeight="1" x14ac:dyDescent="0.2">
      <c r="A15" s="15"/>
      <c r="B15" s="182" t="s">
        <v>170</v>
      </c>
      <c r="C15" s="179"/>
      <c r="D15" s="179"/>
      <c r="E15" s="185"/>
      <c r="F15" s="15"/>
      <c r="G15" s="15"/>
    </row>
    <row r="16" spans="1:7" x14ac:dyDescent="0.2">
      <c r="B16" s="183"/>
      <c r="C16" s="180"/>
      <c r="D16" s="180"/>
      <c r="E16" s="186"/>
    </row>
    <row r="17" spans="2:5" ht="16" customHeight="1" x14ac:dyDescent="0.2">
      <c r="B17" s="182" t="s">
        <v>171</v>
      </c>
      <c r="C17" s="179"/>
      <c r="D17" s="179"/>
      <c r="E17" s="185"/>
    </row>
    <row r="18" spans="2:5" x14ac:dyDescent="0.2">
      <c r="B18" s="183"/>
      <c r="C18" s="180"/>
      <c r="D18" s="180"/>
      <c r="E18" s="186"/>
    </row>
    <row r="19" spans="2:5" ht="16" customHeight="1" x14ac:dyDescent="0.2">
      <c r="B19" s="182" t="s">
        <v>172</v>
      </c>
      <c r="C19" s="179"/>
      <c r="D19" s="179"/>
      <c r="E19" s="185"/>
    </row>
    <row r="20" spans="2:5" x14ac:dyDescent="0.2">
      <c r="B20" s="183"/>
      <c r="C20" s="180"/>
      <c r="D20" s="180"/>
      <c r="E20" s="186"/>
    </row>
    <row r="21" spans="2:5" ht="16" customHeight="1" x14ac:dyDescent="0.2">
      <c r="B21" s="182" t="s">
        <v>173</v>
      </c>
      <c r="C21" s="179"/>
      <c r="D21" s="179"/>
      <c r="E21" s="185"/>
    </row>
    <row r="22" spans="2:5" x14ac:dyDescent="0.2">
      <c r="B22" s="183"/>
      <c r="C22" s="180"/>
      <c r="D22" s="180"/>
      <c r="E22" s="186"/>
    </row>
    <row r="23" spans="2:5" ht="16" customHeight="1" thickBot="1" x14ac:dyDescent="0.25">
      <c r="B23" s="184" t="s">
        <v>174</v>
      </c>
      <c r="C23" s="181"/>
      <c r="D23" s="181"/>
      <c r="E23" s="187"/>
    </row>
  </sheetData>
  <mergeCells count="7">
    <mergeCell ref="B23:E23"/>
    <mergeCell ref="B2:E2"/>
    <mergeCell ref="B14:E14"/>
    <mergeCell ref="B15:E15"/>
    <mergeCell ref="B17:E17"/>
    <mergeCell ref="B19:E19"/>
    <mergeCell ref="B21:E2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D72B-70E1-BB43-AE8F-775D9DCAC1FB}">
  <sheetPr>
    <tabColor rgb="FF1F3864"/>
  </sheetPr>
  <dimension ref="A1:H26"/>
  <sheetViews>
    <sheetView zoomScale="120" zoomScaleNormal="120" workbookViewId="0">
      <pane ySplit="3" topLeftCell="A4" activePane="bottomLeft" state="frozen"/>
      <selection pane="bottomLeft" activeCell="M15" sqref="M15"/>
    </sheetView>
  </sheetViews>
  <sheetFormatPr baseColWidth="10" defaultRowHeight="16" x14ac:dyDescent="0.2"/>
  <cols>
    <col min="1" max="1" width="2.33203125" customWidth="1"/>
    <col min="2" max="2" width="33.33203125" customWidth="1"/>
    <col min="3" max="7" width="18.33203125" customWidth="1"/>
  </cols>
  <sheetData>
    <row r="1" spans="1:8" x14ac:dyDescent="0.2">
      <c r="B1" s="178" t="s">
        <v>177</v>
      </c>
    </row>
    <row r="2" spans="1:8" ht="30" customHeight="1" thickBot="1" x14ac:dyDescent="0.25">
      <c r="A2" s="15"/>
      <c r="B2" s="158" t="s">
        <v>142</v>
      </c>
      <c r="C2" s="158"/>
      <c r="D2" s="158"/>
      <c r="E2" s="158"/>
      <c r="F2" s="158"/>
      <c r="G2" s="158"/>
      <c r="H2" s="15"/>
    </row>
    <row r="3" spans="1:8" ht="24" customHeight="1" x14ac:dyDescent="0.2">
      <c r="A3" s="15"/>
      <c r="B3" s="34" t="s">
        <v>75</v>
      </c>
      <c r="C3" s="35" t="s">
        <v>76</v>
      </c>
      <c r="D3" s="35" t="s">
        <v>77</v>
      </c>
      <c r="E3" s="35" t="s">
        <v>78</v>
      </c>
      <c r="F3" s="35" t="s">
        <v>79</v>
      </c>
      <c r="G3" s="36" t="s">
        <v>80</v>
      </c>
      <c r="H3" s="15"/>
    </row>
    <row r="4" spans="1:8" x14ac:dyDescent="0.2">
      <c r="A4" s="15"/>
      <c r="B4" s="37" t="s">
        <v>58</v>
      </c>
      <c r="C4" s="111">
        <v>0.08</v>
      </c>
      <c r="D4" s="111">
        <v>7.0000000000000007E-2</v>
      </c>
      <c r="E4" s="111">
        <v>0.06</v>
      </c>
      <c r="F4" s="111">
        <v>0.05</v>
      </c>
      <c r="G4" s="113">
        <v>0.04</v>
      </c>
      <c r="H4" s="15"/>
    </row>
    <row r="5" spans="1:8" x14ac:dyDescent="0.2">
      <c r="A5" s="15"/>
      <c r="B5" s="38" t="s">
        <v>56</v>
      </c>
      <c r="C5" s="112">
        <v>0.36</v>
      </c>
      <c r="D5" s="112">
        <v>0.36</v>
      </c>
      <c r="E5" s="112">
        <v>0.35799999999999998</v>
      </c>
      <c r="F5" s="112">
        <v>0.35799999999999998</v>
      </c>
      <c r="G5" s="114">
        <v>0.35799999999999998</v>
      </c>
      <c r="H5" s="15"/>
    </row>
    <row r="6" spans="1:8" x14ac:dyDescent="0.2">
      <c r="A6" s="15"/>
      <c r="B6" s="37" t="s">
        <v>68</v>
      </c>
      <c r="C6" s="111">
        <v>0.26</v>
      </c>
      <c r="D6" s="111">
        <v>0.25900000000000001</v>
      </c>
      <c r="E6" s="111">
        <v>0.25900000000000001</v>
      </c>
      <c r="F6" s="111">
        <v>0.25800000000000001</v>
      </c>
      <c r="G6" s="113">
        <v>0.25800000000000001</v>
      </c>
      <c r="H6" s="15"/>
    </row>
    <row r="7" spans="1:8" x14ac:dyDescent="0.2">
      <c r="A7" s="15"/>
      <c r="B7" s="38" t="s">
        <v>69</v>
      </c>
      <c r="C7" s="112">
        <v>0.22</v>
      </c>
      <c r="D7" s="112">
        <v>0.22</v>
      </c>
      <c r="E7" s="112">
        <v>0.22</v>
      </c>
      <c r="F7" s="112">
        <v>0.22</v>
      </c>
      <c r="G7" s="114">
        <v>0.22</v>
      </c>
      <c r="H7" s="15"/>
    </row>
    <row r="8" spans="1:8" x14ac:dyDescent="0.2">
      <c r="A8" s="15"/>
      <c r="B8" s="37" t="s">
        <v>70</v>
      </c>
      <c r="C8" s="111">
        <v>0.04</v>
      </c>
      <c r="D8" s="111">
        <v>0.04</v>
      </c>
      <c r="E8" s="111">
        <v>0.04</v>
      </c>
      <c r="F8" s="111">
        <v>0.04</v>
      </c>
      <c r="G8" s="113">
        <v>0.04</v>
      </c>
      <c r="H8" s="15"/>
    </row>
    <row r="9" spans="1:8" x14ac:dyDescent="0.2">
      <c r="A9" s="15"/>
      <c r="B9" s="38" t="s">
        <v>71</v>
      </c>
      <c r="C9" s="112">
        <v>2.1000000000000001E-2</v>
      </c>
      <c r="D9" s="112">
        <v>2.1000000000000001E-2</v>
      </c>
      <c r="E9" s="112">
        <v>2.1000000000000001E-2</v>
      </c>
      <c r="F9" s="112">
        <v>2.1000000000000001E-2</v>
      </c>
      <c r="G9" s="114">
        <v>2.1000000000000001E-2</v>
      </c>
      <c r="H9" s="15"/>
    </row>
    <row r="10" spans="1:8" x14ac:dyDescent="0.2">
      <c r="A10" s="15"/>
      <c r="B10" s="37" t="s">
        <v>72</v>
      </c>
      <c r="C10" s="111">
        <v>0.09</v>
      </c>
      <c r="D10" s="111">
        <v>0.09</v>
      </c>
      <c r="E10" s="111">
        <v>0.09</v>
      </c>
      <c r="F10" s="111">
        <v>0.09</v>
      </c>
      <c r="G10" s="113">
        <v>0.09</v>
      </c>
      <c r="H10" s="15"/>
    </row>
    <row r="11" spans="1:8" ht="17" thickBot="1" x14ac:dyDescent="0.25">
      <c r="A11" s="15"/>
      <c r="B11" s="54" t="s">
        <v>89</v>
      </c>
      <c r="C11" s="115">
        <v>0.03</v>
      </c>
      <c r="D11" s="115">
        <v>0.03</v>
      </c>
      <c r="E11" s="115">
        <v>0.03</v>
      </c>
      <c r="F11" s="115">
        <v>0.03</v>
      </c>
      <c r="G11" s="116">
        <v>0.03</v>
      </c>
      <c r="H11" s="15"/>
    </row>
    <row r="12" spans="1:8" ht="17" thickBot="1" x14ac:dyDescent="0.25">
      <c r="A12" s="15"/>
      <c r="B12" s="67"/>
      <c r="C12" s="15"/>
      <c r="D12" s="15"/>
      <c r="E12" s="15"/>
      <c r="F12" s="15"/>
      <c r="G12" s="15"/>
      <c r="H12" s="15"/>
    </row>
    <row r="13" spans="1:8" ht="16" customHeight="1" x14ac:dyDescent="0.2">
      <c r="A13" s="15"/>
      <c r="B13" s="44" t="s">
        <v>176</v>
      </c>
      <c r="C13" s="163" t="s">
        <v>175</v>
      </c>
      <c r="D13" s="163"/>
      <c r="E13" s="163"/>
      <c r="F13" s="163"/>
      <c r="G13" s="164"/>
      <c r="H13" s="15"/>
    </row>
    <row r="14" spans="1:8" ht="16" customHeight="1" x14ac:dyDescent="0.2">
      <c r="A14" s="15"/>
      <c r="B14" s="37" t="s">
        <v>58</v>
      </c>
      <c r="C14" s="165" t="s">
        <v>81</v>
      </c>
      <c r="D14" s="165"/>
      <c r="E14" s="165"/>
      <c r="F14" s="165"/>
      <c r="G14" s="165"/>
      <c r="H14" s="15"/>
    </row>
    <row r="15" spans="1:8" ht="16" customHeight="1" x14ac:dyDescent="0.2">
      <c r="A15" s="15"/>
      <c r="B15" s="38" t="s">
        <v>56</v>
      </c>
      <c r="C15" s="166" t="s">
        <v>82</v>
      </c>
      <c r="D15" s="166"/>
      <c r="E15" s="166"/>
      <c r="F15" s="166"/>
      <c r="G15" s="166"/>
      <c r="H15" s="15"/>
    </row>
    <row r="16" spans="1:8" ht="16" customHeight="1" x14ac:dyDescent="0.2">
      <c r="A16" s="15"/>
      <c r="B16" s="37" t="s">
        <v>6</v>
      </c>
      <c r="C16" s="165" t="s">
        <v>83</v>
      </c>
      <c r="D16" s="165"/>
      <c r="E16" s="165"/>
      <c r="F16" s="165"/>
      <c r="G16" s="165"/>
      <c r="H16" s="15"/>
    </row>
    <row r="17" spans="1:8" ht="16" customHeight="1" x14ac:dyDescent="0.2">
      <c r="A17" s="15"/>
      <c r="B17" s="38" t="s">
        <v>69</v>
      </c>
      <c r="C17" s="166" t="s">
        <v>84</v>
      </c>
      <c r="D17" s="166"/>
      <c r="E17" s="166"/>
      <c r="F17" s="166"/>
      <c r="G17" s="166"/>
      <c r="H17" s="15"/>
    </row>
    <row r="18" spans="1:8" ht="16" customHeight="1" x14ac:dyDescent="0.2">
      <c r="A18" s="15"/>
      <c r="B18" s="37" t="s">
        <v>85</v>
      </c>
      <c r="C18" s="165" t="s">
        <v>86</v>
      </c>
      <c r="D18" s="165"/>
      <c r="E18" s="165"/>
      <c r="F18" s="165"/>
      <c r="G18" s="165"/>
      <c r="H18" s="15"/>
    </row>
    <row r="19" spans="1:8" ht="16" customHeight="1" thickBot="1" x14ac:dyDescent="0.25">
      <c r="A19" s="15"/>
      <c r="B19" s="54" t="s">
        <v>87</v>
      </c>
      <c r="C19" s="167" t="s">
        <v>88</v>
      </c>
      <c r="D19" s="167"/>
      <c r="E19" s="167"/>
      <c r="F19" s="167"/>
      <c r="G19" s="168"/>
      <c r="H19" s="15"/>
    </row>
    <row r="20" spans="1:8" x14ac:dyDescent="0.2">
      <c r="A20" s="15"/>
      <c r="B20" s="15"/>
      <c r="C20" s="15"/>
      <c r="D20" s="15"/>
      <c r="E20" s="15"/>
      <c r="F20" s="15"/>
      <c r="G20" s="15"/>
      <c r="H20" s="15"/>
    </row>
    <row r="21" spans="1:8" x14ac:dyDescent="0.2">
      <c r="A21" s="15"/>
      <c r="B21" s="15"/>
      <c r="C21" s="15"/>
      <c r="D21" s="15"/>
      <c r="E21" s="15"/>
      <c r="F21" s="15"/>
      <c r="G21" s="15"/>
      <c r="H21" s="15"/>
    </row>
    <row r="22" spans="1:8" x14ac:dyDescent="0.2">
      <c r="A22" s="15"/>
      <c r="B22" s="15"/>
      <c r="C22" s="15"/>
      <c r="D22" s="15"/>
      <c r="E22" s="15"/>
      <c r="F22" s="15"/>
      <c r="G22" s="15"/>
      <c r="H22" s="15"/>
    </row>
    <row r="23" spans="1:8" x14ac:dyDescent="0.2">
      <c r="A23" s="15"/>
      <c r="B23" s="15"/>
      <c r="C23" s="15"/>
      <c r="D23" s="15"/>
      <c r="E23" s="15"/>
      <c r="F23" s="15"/>
      <c r="G23" s="15"/>
      <c r="H23" s="15"/>
    </row>
    <row r="24" spans="1:8" x14ac:dyDescent="0.2">
      <c r="A24" s="15"/>
      <c r="B24" s="15"/>
      <c r="C24" s="15"/>
      <c r="D24" s="15"/>
      <c r="E24" s="15"/>
      <c r="F24" s="15"/>
      <c r="G24" s="15"/>
      <c r="H24" s="15"/>
    </row>
    <row r="25" spans="1:8" x14ac:dyDescent="0.2">
      <c r="A25" s="15"/>
      <c r="B25" s="15"/>
      <c r="C25" s="15"/>
      <c r="D25" s="15"/>
      <c r="E25" s="15"/>
      <c r="F25" s="15"/>
      <c r="G25" s="15"/>
      <c r="H25" s="15"/>
    </row>
    <row r="26" spans="1:8" x14ac:dyDescent="0.2">
      <c r="A26" s="15"/>
      <c r="B26" s="15"/>
      <c r="C26" s="15"/>
      <c r="D26" s="15"/>
      <c r="E26" s="15"/>
      <c r="F26" s="15"/>
      <c r="G26" s="15"/>
      <c r="H26" s="15"/>
    </row>
  </sheetData>
  <mergeCells count="8">
    <mergeCell ref="C17:G17"/>
    <mergeCell ref="C18:G18"/>
    <mergeCell ref="C19:G19"/>
    <mergeCell ref="C13:G13"/>
    <mergeCell ref="B2:G2"/>
    <mergeCell ref="C14:G14"/>
    <mergeCell ref="C15:G15"/>
    <mergeCell ref="C16:G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5432-5DF1-BF47-B6FF-1D9E706CB8B1}">
  <sheetPr>
    <tabColor rgb="FF1F3864"/>
  </sheetPr>
  <dimension ref="A1:I21"/>
  <sheetViews>
    <sheetView zoomScale="120" zoomScaleNormal="12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L16" sqref="L16"/>
    </sheetView>
  </sheetViews>
  <sheetFormatPr baseColWidth="10" defaultRowHeight="16" x14ac:dyDescent="0.2"/>
  <cols>
    <col min="1" max="1" width="2.33203125" customWidth="1"/>
    <col min="2" max="2" width="36.6640625" customWidth="1"/>
    <col min="3" max="8" width="17.5" customWidth="1"/>
  </cols>
  <sheetData>
    <row r="1" spans="1:9" x14ac:dyDescent="0.2">
      <c r="B1" s="178" t="s">
        <v>154</v>
      </c>
    </row>
    <row r="2" spans="1:9" ht="30" customHeight="1" thickBot="1" x14ac:dyDescent="0.25">
      <c r="A2" s="15"/>
      <c r="B2" s="158" t="s">
        <v>144</v>
      </c>
      <c r="C2" s="158"/>
      <c r="D2" s="158"/>
      <c r="E2" s="158"/>
      <c r="F2" s="158"/>
      <c r="G2" s="158"/>
      <c r="H2" s="158"/>
      <c r="I2" s="15"/>
    </row>
    <row r="3" spans="1:9" ht="24" customHeight="1" x14ac:dyDescent="0.2">
      <c r="A3" s="15"/>
      <c r="B3" s="34" t="s">
        <v>90</v>
      </c>
      <c r="C3" s="35" t="s">
        <v>91</v>
      </c>
      <c r="D3" s="92" t="s">
        <v>92</v>
      </c>
      <c r="E3" s="35" t="s">
        <v>93</v>
      </c>
      <c r="F3" s="35" t="s">
        <v>94</v>
      </c>
      <c r="G3" s="35" t="s">
        <v>95</v>
      </c>
      <c r="H3" s="36" t="s">
        <v>96</v>
      </c>
      <c r="I3" s="15"/>
    </row>
    <row r="4" spans="1:9" x14ac:dyDescent="0.2">
      <c r="A4" s="15"/>
      <c r="B4" s="38" t="s">
        <v>14</v>
      </c>
      <c r="C4" s="20">
        <f>'Income Statement'!E4</f>
        <v>6165376</v>
      </c>
      <c r="D4" s="121">
        <f>C4*(1+'Forecast Assumptions'!C4)</f>
        <v>6658606.0800000001</v>
      </c>
      <c r="E4" s="20">
        <f>D4*(1+'Forecast Assumptions'!D4)</f>
        <v>7124708.5056000007</v>
      </c>
      <c r="F4" s="20">
        <f>E4*(1+'Forecast Assumptions'!E4)</f>
        <v>7552191.0159360012</v>
      </c>
      <c r="G4" s="20">
        <f>F4*(1+'Forecast Assumptions'!F4)</f>
        <v>7929800.5667328015</v>
      </c>
      <c r="H4" s="29">
        <f>G4*(1+'Forecast Assumptions'!G4)</f>
        <v>8246992.589402114</v>
      </c>
      <c r="I4" s="15"/>
    </row>
    <row r="5" spans="1:9" x14ac:dyDescent="0.2">
      <c r="A5" s="15"/>
      <c r="B5" s="119" t="s">
        <v>11</v>
      </c>
      <c r="C5" s="117">
        <f>'Income Statement'!D13</f>
        <v>0.11074526912626337</v>
      </c>
      <c r="D5" s="122">
        <f>'Forecast Assumptions'!C4</f>
        <v>0.08</v>
      </c>
      <c r="E5" s="117">
        <f>'Forecast Assumptions'!D4</f>
        <v>7.0000000000000007E-2</v>
      </c>
      <c r="F5" s="117">
        <f>'Forecast Assumptions'!E4</f>
        <v>0.06</v>
      </c>
      <c r="G5" s="117">
        <f>'Forecast Assumptions'!F4</f>
        <v>0.05</v>
      </c>
      <c r="H5" s="120">
        <f>'Forecast Assumptions'!G4</f>
        <v>0.04</v>
      </c>
      <c r="I5" s="15"/>
    </row>
    <row r="6" spans="1:9" x14ac:dyDescent="0.2">
      <c r="A6" s="15"/>
      <c r="B6" s="51" t="s">
        <v>5</v>
      </c>
      <c r="C6" s="18">
        <f>'Income Statement'!E6</f>
        <v>2217753</v>
      </c>
      <c r="D6" s="123">
        <f>D4*D7</f>
        <v>2397098.1888000001</v>
      </c>
      <c r="E6" s="18">
        <f t="shared" ref="E6:H6" si="0">E4*E7</f>
        <v>2564895.062016</v>
      </c>
      <c r="F6" s="18">
        <f t="shared" si="0"/>
        <v>2703684.3837050884</v>
      </c>
      <c r="G6" s="18">
        <f t="shared" si="0"/>
        <v>2838868.6028903429</v>
      </c>
      <c r="H6" s="30">
        <f t="shared" si="0"/>
        <v>2952423.3470059568</v>
      </c>
      <c r="I6" s="15"/>
    </row>
    <row r="7" spans="1:9" x14ac:dyDescent="0.2">
      <c r="A7" s="15"/>
      <c r="B7" s="119" t="s">
        <v>46</v>
      </c>
      <c r="C7" s="117">
        <f>'Income Statement'!D14</f>
        <v>0.35971090814250423</v>
      </c>
      <c r="D7" s="122">
        <f>'Forecast Assumptions'!C5</f>
        <v>0.36</v>
      </c>
      <c r="E7" s="117">
        <f>'Forecast Assumptions'!D5</f>
        <v>0.36</v>
      </c>
      <c r="F7" s="117">
        <f>'Forecast Assumptions'!E5</f>
        <v>0.35799999999999998</v>
      </c>
      <c r="G7" s="117">
        <f>'Forecast Assumptions'!F5</f>
        <v>0.35799999999999998</v>
      </c>
      <c r="H7" s="120">
        <f>'Forecast Assumptions'!G5</f>
        <v>0.35799999999999998</v>
      </c>
      <c r="I7" s="15"/>
    </row>
    <row r="8" spans="1:9" x14ac:dyDescent="0.2">
      <c r="A8" s="15"/>
      <c r="B8" s="38" t="s">
        <v>6</v>
      </c>
      <c r="C8" s="20">
        <f>'Income Statement'!E7</f>
        <v>1612119</v>
      </c>
      <c r="D8" s="121">
        <f>D4*D9</f>
        <v>1731237.5808000001</v>
      </c>
      <c r="E8" s="20">
        <f t="shared" ref="E8:H8" si="1">E4*E9</f>
        <v>1845299.5029504003</v>
      </c>
      <c r="F8" s="20">
        <f t="shared" si="1"/>
        <v>1956017.4731274245</v>
      </c>
      <c r="G8" s="20">
        <f t="shared" si="1"/>
        <v>2045888.5462170627</v>
      </c>
      <c r="H8" s="29">
        <f t="shared" si="1"/>
        <v>2127724.0880657453</v>
      </c>
      <c r="I8" s="15"/>
    </row>
    <row r="9" spans="1:9" x14ac:dyDescent="0.2">
      <c r="A9" s="15"/>
      <c r="B9" s="119" t="s">
        <v>68</v>
      </c>
      <c r="C9" s="118">
        <f>'Operating Drivers'!E7</f>
        <v>0.26147942964062532</v>
      </c>
      <c r="D9" s="122">
        <f>'Forecast Assumptions'!C6</f>
        <v>0.26</v>
      </c>
      <c r="E9" s="117">
        <f>'Forecast Assumptions'!D6</f>
        <v>0.25900000000000001</v>
      </c>
      <c r="F9" s="117">
        <f>'Forecast Assumptions'!E6</f>
        <v>0.25900000000000001</v>
      </c>
      <c r="G9" s="117">
        <f>'Forecast Assumptions'!F6</f>
        <v>0.25800000000000001</v>
      </c>
      <c r="H9" s="120">
        <f>'Forecast Assumptions'!G6</f>
        <v>0.25800000000000001</v>
      </c>
      <c r="I9" s="15"/>
    </row>
    <row r="10" spans="1:9" x14ac:dyDescent="0.2">
      <c r="A10" s="15"/>
      <c r="B10" s="51" t="s">
        <v>97</v>
      </c>
      <c r="C10" s="18">
        <f>'Income Statement'!E8</f>
        <v>605634</v>
      </c>
      <c r="D10" s="123">
        <f>D6-D8</f>
        <v>665860.60800000001</v>
      </c>
      <c r="E10" s="18">
        <f t="shared" ref="E10:H10" si="2">E6-E8</f>
        <v>719595.55906559969</v>
      </c>
      <c r="F10" s="18">
        <f t="shared" si="2"/>
        <v>747666.91057766392</v>
      </c>
      <c r="G10" s="18">
        <f t="shared" si="2"/>
        <v>792980.0566732802</v>
      </c>
      <c r="H10" s="30">
        <f t="shared" si="2"/>
        <v>824699.2589402115</v>
      </c>
      <c r="I10" s="15"/>
    </row>
    <row r="11" spans="1:9" ht="17" thickBot="1" x14ac:dyDescent="0.25">
      <c r="A11" s="15"/>
      <c r="B11" s="37" t="s">
        <v>98</v>
      </c>
      <c r="C11" s="17">
        <f>C10*'Operating Drivers'!E8</f>
        <v>133909.81032238391</v>
      </c>
      <c r="D11" s="124">
        <f>D10*'Forecast Assumptions'!C7</f>
        <v>146489.33376000001</v>
      </c>
      <c r="E11" s="17">
        <f>E10*'Forecast Assumptions'!D7</f>
        <v>158311.02299443193</v>
      </c>
      <c r="F11" s="17">
        <f>F10*'Forecast Assumptions'!E7</f>
        <v>164486.72032708608</v>
      </c>
      <c r="G11" s="17">
        <f>G10*'Forecast Assumptions'!F7</f>
        <v>174455.61246812163</v>
      </c>
      <c r="H11" s="28">
        <f>H10*'Forecast Assumptions'!G7</f>
        <v>181433.83696684652</v>
      </c>
      <c r="I11" s="15"/>
    </row>
    <row r="12" spans="1:9" ht="17" thickTop="1" x14ac:dyDescent="0.2">
      <c r="A12" s="15"/>
      <c r="B12" s="52" t="s">
        <v>9</v>
      </c>
      <c r="C12" s="19">
        <f>'Income Statement'!E10</f>
        <v>464919</v>
      </c>
      <c r="D12" s="125">
        <f>D10-D11</f>
        <v>519371.27424</v>
      </c>
      <c r="E12" s="19">
        <f t="shared" ref="E12:H12" si="3">E10-E11</f>
        <v>561284.53607116779</v>
      </c>
      <c r="F12" s="19">
        <f t="shared" si="3"/>
        <v>583180.19025057787</v>
      </c>
      <c r="G12" s="19">
        <f t="shared" si="3"/>
        <v>618524.44420515862</v>
      </c>
      <c r="H12" s="53">
        <f t="shared" si="3"/>
        <v>643265.42197336501</v>
      </c>
      <c r="I12" s="15"/>
    </row>
    <row r="13" spans="1:9" x14ac:dyDescent="0.2">
      <c r="A13" s="15"/>
      <c r="B13" s="38" t="s">
        <v>99</v>
      </c>
      <c r="C13" s="50">
        <f>'Cash Flow Statement'!E6</f>
        <v>128529</v>
      </c>
      <c r="D13" s="121">
        <f>+D4*'Forecast Assumptions'!C9</f>
        <v>139830.72768000001</v>
      </c>
      <c r="E13" s="20">
        <f>+E4*'Forecast Assumptions'!D9</f>
        <v>149618.87861760001</v>
      </c>
      <c r="F13" s="20">
        <f>+F4*'Forecast Assumptions'!E9</f>
        <v>158596.01133465604</v>
      </c>
      <c r="G13" s="20">
        <f>+G4*'Forecast Assumptions'!F9</f>
        <v>166525.81190138884</v>
      </c>
      <c r="H13" s="29">
        <f>+H4*'Forecast Assumptions'!G9</f>
        <v>173186.84437744442</v>
      </c>
      <c r="I13" s="15"/>
    </row>
    <row r="14" spans="1:9" x14ac:dyDescent="0.2">
      <c r="A14" s="15"/>
      <c r="B14" s="38" t="s">
        <v>85</v>
      </c>
      <c r="C14" s="20">
        <f>'Cash Flow Statement'!E7</f>
        <v>-260168</v>
      </c>
      <c r="D14" s="121">
        <f>-(D4*'Forecast Assumptions'!C8)</f>
        <v>-266344.24320000003</v>
      </c>
      <c r="E14" s="20">
        <f>-(E4*'Forecast Assumptions'!D8)</f>
        <v>-284988.34022400004</v>
      </c>
      <c r="F14" s="20">
        <f>-(F4*'Forecast Assumptions'!E8)</f>
        <v>-302087.64063744008</v>
      </c>
      <c r="G14" s="20">
        <f>-(G4*'Forecast Assumptions'!F8)</f>
        <v>-317192.02266931208</v>
      </c>
      <c r="H14" s="29">
        <f>-(H4*'Forecast Assumptions'!G8)</f>
        <v>-329879.70357608458</v>
      </c>
      <c r="I14" s="15"/>
    </row>
    <row r="15" spans="1:9" x14ac:dyDescent="0.2">
      <c r="A15" s="15"/>
      <c r="B15" s="38" t="s">
        <v>102</v>
      </c>
      <c r="C15" s="20">
        <f>'Balance Sheet'!C26</f>
        <v>568010</v>
      </c>
      <c r="D15" s="121">
        <f>D4*'Forecast Assumptions'!C10</f>
        <v>599274.54720000003</v>
      </c>
      <c r="E15" s="20">
        <f>E4*'Forecast Assumptions'!D10</f>
        <v>641223.76550400001</v>
      </c>
      <c r="F15" s="20">
        <f>F4*'Forecast Assumptions'!E10</f>
        <v>679697.19143424009</v>
      </c>
      <c r="G15" s="20">
        <f>G4*'Forecast Assumptions'!F10</f>
        <v>713682.05100595206</v>
      </c>
      <c r="H15" s="29">
        <f>H4*'Forecast Assumptions'!G10</f>
        <v>742229.33304619021</v>
      </c>
      <c r="I15" s="15"/>
    </row>
    <row r="16" spans="1:9" ht="17" thickBot="1" x14ac:dyDescent="0.25">
      <c r="A16" s="15"/>
      <c r="B16" s="37" t="s">
        <v>100</v>
      </c>
      <c r="C16" s="17" t="s">
        <v>74</v>
      </c>
      <c r="D16" s="124">
        <f>D15-C15</f>
        <v>31264.54720000003</v>
      </c>
      <c r="E16" s="17">
        <f t="shared" ref="E16:H16" si="4">E15-D15</f>
        <v>41949.21830399998</v>
      </c>
      <c r="F16" s="17">
        <f t="shared" si="4"/>
        <v>38473.425930240075</v>
      </c>
      <c r="G16" s="17">
        <f t="shared" si="4"/>
        <v>33984.859571711975</v>
      </c>
      <c r="H16" s="28">
        <f t="shared" si="4"/>
        <v>28547.282040238148</v>
      </c>
      <c r="I16" s="15"/>
    </row>
    <row r="17" spans="1:9" ht="18" thickTop="1" thickBot="1" x14ac:dyDescent="0.25">
      <c r="A17" s="15"/>
      <c r="B17" s="64" t="s">
        <v>101</v>
      </c>
      <c r="C17" s="32">
        <f>'Income Statement'!E10+'Cash Flow Statement'!E6+'Cash Flow Statement'!E7</f>
        <v>333280</v>
      </c>
      <c r="D17" s="126">
        <f>D12+D13+D14-D16</f>
        <v>361593.2115199999</v>
      </c>
      <c r="E17" s="32">
        <f t="shared" ref="E17:H17" si="5">E12+E13+E14-E16</f>
        <v>383965.85616076784</v>
      </c>
      <c r="F17" s="32">
        <f t="shared" si="5"/>
        <v>401215.13501755375</v>
      </c>
      <c r="G17" s="32">
        <f t="shared" si="5"/>
        <v>433873.37386552338</v>
      </c>
      <c r="H17" s="33">
        <f t="shared" si="5"/>
        <v>458025.28073448676</v>
      </c>
      <c r="I17" s="15"/>
    </row>
    <row r="18" spans="1:9" x14ac:dyDescent="0.2">
      <c r="A18" s="15"/>
      <c r="B18" s="15"/>
      <c r="C18" s="15"/>
      <c r="D18" s="15"/>
      <c r="E18" s="15"/>
      <c r="F18" s="15"/>
      <c r="G18" s="15"/>
      <c r="H18" s="15"/>
      <c r="I18" s="15"/>
    </row>
    <row r="19" spans="1:9" x14ac:dyDescent="0.2">
      <c r="A19" s="15"/>
      <c r="B19" s="15"/>
      <c r="C19" s="15"/>
      <c r="D19" s="15"/>
      <c r="E19" s="15"/>
      <c r="F19" s="15"/>
      <c r="G19" s="15"/>
      <c r="H19" s="15"/>
      <c r="I19" s="15"/>
    </row>
    <row r="20" spans="1:9" x14ac:dyDescent="0.2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Income Statement</vt:lpstr>
      <vt:lpstr>Balance Sheet</vt:lpstr>
      <vt:lpstr>Cash Flow Statement</vt:lpstr>
      <vt:lpstr>Ratio Analysis</vt:lpstr>
      <vt:lpstr>KPI Dashboard</vt:lpstr>
      <vt:lpstr>Operating Drivers</vt:lpstr>
      <vt:lpstr>Forecast Assumptions</vt:lpstr>
      <vt:lpstr>Forecast Model</vt:lpstr>
      <vt:lpstr>Valuation &amp; Scenario Analysis</vt:lpstr>
      <vt:lpstr>Executive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Tous</dc:creator>
  <cp:lastModifiedBy>Victor Tous</cp:lastModifiedBy>
  <dcterms:created xsi:type="dcterms:W3CDTF">2026-06-12T21:05:24Z</dcterms:created>
  <dcterms:modified xsi:type="dcterms:W3CDTF">2026-06-13T19:13:07Z</dcterms:modified>
</cp:coreProperties>
</file>